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7185" tabRatio="816" firstSheet="0" activeTab="1"/>
  </bookViews>
  <sheets>
    <sheet name="ES Canal" sheetId="1" r:id="rId1"/>
    <sheet name="Graph_Escan" sheetId="2" r:id="rId2"/>
    <sheet name="Canal" sheetId="3" r:id="rId3"/>
    <sheet name="Profil Canal" sheetId="4" r:id="rId4"/>
    <sheet name="Graph_Procan" sheetId="5" r:id="rId5"/>
    <sheet name="Conduite" sheetId="6" r:id="rId6"/>
    <sheet name="Profil Conduite" sheetId="7" r:id="rId7"/>
    <sheet name="Graph_Procond" sheetId="8" r:id="rId8"/>
    <sheet name="Ressaut Canal" sheetId="9" r:id="rId9"/>
    <sheet name="Ressaut Conduite" sheetId="10" r:id="rId10"/>
    <sheet name="Hazen-Williams" sheetId="11" r:id="rId11"/>
    <sheet name="Darcy-Weisbach" sheetId="12" r:id="rId12"/>
    <sheet name="Butée" sheetId="13" r:id="rId13"/>
  </sheets>
  <definedNames>
    <definedName name="b_____m">'ES Canal'!$B$7</definedName>
    <definedName name="Del_Y____m">'ES Canal'!$D$7</definedName>
    <definedName name="_xlnm.Print_Area" localSheetId="12">'Butée'!$A$1:$E$23</definedName>
    <definedName name="_xlnm.Print_Area" localSheetId="0">'ES Canal'!$A$1:$I$32</definedName>
    <definedName name="_xlnm.Print_Area" localSheetId="3">'Profil Canal'!$A$1:$J$36</definedName>
    <definedName name="_xlnm.Print_Area" localSheetId="6">'Profil Conduite'!$A$1:$K$36</definedName>
    <definedName name="Q____m__s">'ES Canal'!$B$6</definedName>
    <definedName name="solver_adj" localSheetId="2" hidden="1">'Canal'!$B$8</definedName>
    <definedName name="solver_adj" localSheetId="5" hidden="1">'Conduite'!$B$8</definedName>
    <definedName name="solver_adj" localSheetId="0" hidden="1">'ES Canal'!$A$12</definedName>
    <definedName name="solver_adj" localSheetId="8" hidden="1">'Ressaut Canal'!$G$5</definedName>
    <definedName name="solver_cvg" localSheetId="2" hidden="1">0.0001</definedName>
    <definedName name="solver_cvg" localSheetId="5" hidden="1">0.0001</definedName>
    <definedName name="solver_cvg" localSheetId="0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0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0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0" hidden="1">100</definedName>
    <definedName name="solver_itr" localSheetId="8" hidden="1">100</definedName>
    <definedName name="solver_lin" localSheetId="2" hidden="1">2</definedName>
    <definedName name="solver_lin" localSheetId="5" hidden="1">2</definedName>
    <definedName name="solver_lin" localSheetId="0" hidden="1">2</definedName>
    <definedName name="solver_lin" localSheetId="8" hidden="1">2</definedName>
    <definedName name="solver_neg" localSheetId="2" hidden="1">2</definedName>
    <definedName name="solver_neg" localSheetId="5" hidden="1">2</definedName>
    <definedName name="solver_neg" localSheetId="0" hidden="1">2</definedName>
    <definedName name="solver_neg" localSheetId="8" hidden="1">2</definedName>
    <definedName name="solver_num" localSheetId="2" hidden="1">0</definedName>
    <definedName name="solver_num" localSheetId="5" hidden="1">0</definedName>
    <definedName name="solver_num" localSheetId="0" hidden="1">0</definedName>
    <definedName name="solver_num" localSheetId="8" hidden="1">0</definedName>
    <definedName name="solver_nwt" localSheetId="2" hidden="1">1</definedName>
    <definedName name="solver_nwt" localSheetId="5" hidden="1">1</definedName>
    <definedName name="solver_nwt" localSheetId="0" hidden="1">1</definedName>
    <definedName name="solver_nwt" localSheetId="8" hidden="1">1</definedName>
    <definedName name="solver_opt" localSheetId="2" hidden="1">'Canal'!$E$14</definedName>
    <definedName name="solver_opt" localSheetId="5" hidden="1">'Conduite'!$E$15</definedName>
    <definedName name="solver_opt" localSheetId="0" hidden="1">'ES Canal'!$B$12</definedName>
    <definedName name="solver_opt" localSheetId="8" hidden="1">'Ressaut Canal'!$G$13</definedName>
    <definedName name="solver_pre" localSheetId="2" hidden="1">0.000001</definedName>
    <definedName name="solver_pre" localSheetId="5" hidden="1">0.000001</definedName>
    <definedName name="solver_pre" localSheetId="0" hidden="1">0.000001</definedName>
    <definedName name="solver_pre" localSheetId="8" hidden="1">0.000001</definedName>
    <definedName name="solver_scl" localSheetId="2" hidden="1">2</definedName>
    <definedName name="solver_scl" localSheetId="5" hidden="1">2</definedName>
    <definedName name="solver_scl" localSheetId="0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0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0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0" hidden="1">0.05</definedName>
    <definedName name="solver_tol" localSheetId="8" hidden="1">0.05</definedName>
    <definedName name="solver_typ" localSheetId="2" hidden="1">3</definedName>
    <definedName name="solver_typ" localSheetId="5" hidden="1">3</definedName>
    <definedName name="solver_typ" localSheetId="0" hidden="1">2</definedName>
    <definedName name="solver_typ" localSheetId="8" hidden="1">3</definedName>
    <definedName name="solver_val" localSheetId="2" hidden="1">100</definedName>
    <definedName name="solver_val" localSheetId="5" hidden="1">2.26</definedName>
    <definedName name="solver_val" localSheetId="0" hidden="1">0</definedName>
    <definedName name="solver_val" localSheetId="8" hidden="1">0.00068</definedName>
    <definedName name="Yi_____m">'ES Canal'!$D$6</definedName>
    <definedName name="z">'ES Canal'!$B$8</definedName>
  </definedNames>
  <calcPr fullCalcOnLoad="1"/>
</workbook>
</file>

<file path=xl/sharedStrings.xml><?xml version="1.0" encoding="utf-8"?>
<sst xmlns="http://schemas.openxmlformats.org/spreadsheetml/2006/main" count="460" uniqueCount="163">
  <si>
    <t xml:space="preserve"> </t>
  </si>
  <si>
    <t>Notes à l'intention de</t>
  </si>
  <si>
    <t>MANUELLEMENT</t>
  </si>
  <si>
    <t>l'utilisateur pour la</t>
  </si>
  <si>
    <t>COPIER LA LIGNE 14</t>
  </si>
  <si>
    <t>saisie des données :</t>
  </si>
  <si>
    <t>VALEURS CALCULÉES</t>
  </si>
  <si>
    <t>Q = (m³/s)</t>
  </si>
  <si>
    <t>Yi = ( m )</t>
  </si>
  <si>
    <t>b = ( m )</t>
  </si>
  <si>
    <t>Del Y = (m)</t>
  </si>
  <si>
    <t xml:space="preserve">z = </t>
  </si>
  <si>
    <t>Y</t>
  </si>
  <si>
    <t>E</t>
  </si>
  <si>
    <t>A</t>
  </si>
  <si>
    <t>P</t>
  </si>
  <si>
    <t>B</t>
  </si>
  <si>
    <t>R</t>
  </si>
  <si>
    <t>D</t>
  </si>
  <si>
    <t>V</t>
  </si>
  <si>
    <t>Fr</t>
  </si>
  <si>
    <t>(m)</t>
  </si>
  <si>
    <t>(m²)</t>
  </si>
  <si>
    <t>(m/s)</t>
  </si>
  <si>
    <t>S =</t>
  </si>
  <si>
    <t>G</t>
  </si>
  <si>
    <t>É</t>
  </si>
  <si>
    <t xml:space="preserve">A= </t>
  </si>
  <si>
    <t>( mm )</t>
  </si>
  <si>
    <t>O</t>
  </si>
  <si>
    <t xml:space="preserve">P= </t>
  </si>
  <si>
    <t>n =</t>
  </si>
  <si>
    <t>M</t>
  </si>
  <si>
    <t>&gt;&gt;&gt;&gt;&gt;&gt;B =</t>
  </si>
  <si>
    <t>R =</t>
  </si>
  <si>
    <t>Y = ( m )</t>
  </si>
  <si>
    <t>T</t>
  </si>
  <si>
    <t>D =</t>
  </si>
  <si>
    <t>Tau = (N/m²)</t>
  </si>
  <si>
    <t>I</t>
  </si>
  <si>
    <t xml:space="preserve"> ÉCOULEMENT NORMAL</t>
  </si>
  <si>
    <t>ÉCOULEMENT CRITIQUE</t>
  </si>
  <si>
    <t xml:space="preserve"> ÉCOULEMENT IMPOSÉ</t>
  </si>
  <si>
    <t>Qn = ( m³/s )</t>
  </si>
  <si>
    <t>Qc = ( m³/s )</t>
  </si>
  <si>
    <t>Q = ( m³/s )</t>
  </si>
  <si>
    <t>Sc =</t>
  </si>
  <si>
    <t>Vn = ( m/s )</t>
  </si>
  <si>
    <t>Vc = ( m/s )</t>
  </si>
  <si>
    <t>V = ( m/s )</t>
  </si>
  <si>
    <t>Es = ( m )</t>
  </si>
  <si>
    <t>Fr =</t>
  </si>
  <si>
    <t>CURSEURS OU MANUELLEMENT</t>
  </si>
  <si>
    <t>COPIER LA LIGNE 20</t>
  </si>
  <si>
    <t>Yn = (m)</t>
  </si>
  <si>
    <t>Yc = (m)</t>
  </si>
  <si>
    <t>z =</t>
  </si>
  <si>
    <t>Pente</t>
  </si>
  <si>
    <t>Q = ( m³/s)</t>
  </si>
  <si>
    <t>X</t>
  </si>
  <si>
    <t>Yi</t>
  </si>
  <si>
    <t>Sf</t>
  </si>
  <si>
    <t>Del X</t>
  </si>
  <si>
    <t>( m )</t>
  </si>
  <si>
    <t>D = ( m )</t>
  </si>
  <si>
    <t>A =</t>
  </si>
  <si>
    <t>P =</t>
  </si>
  <si>
    <t>n var. =</t>
  </si>
  <si>
    <t>Q</t>
  </si>
  <si>
    <t>( l/s )</t>
  </si>
  <si>
    <t>ÉCOULEMENT NORMAL</t>
  </si>
  <si>
    <t>IMPOSÉ OU EN CHARGE</t>
  </si>
  <si>
    <t>Q  = ( m³/s )</t>
  </si>
  <si>
    <t>Sc  =</t>
  </si>
  <si>
    <t>L  = ( m )</t>
  </si>
  <si>
    <t>V  = ( m/s )</t>
  </si>
  <si>
    <t>Es  = ( m )</t>
  </si>
  <si>
    <t>Fr  =</t>
  </si>
  <si>
    <t>n (variable) =</t>
  </si>
  <si>
    <t>THETA</t>
  </si>
  <si>
    <t>Y/D</t>
  </si>
  <si>
    <t>np/n</t>
  </si>
  <si>
    <t>(radians)</t>
  </si>
  <si>
    <t>L  (longueur en m)</t>
  </si>
  <si>
    <t>C</t>
  </si>
  <si>
    <t>C  (Hazen-Williams)</t>
  </si>
  <si>
    <t>D  (diamètre en m)</t>
  </si>
  <si>
    <t>K  (pertes singulières)</t>
  </si>
  <si>
    <t>Q  (débit en m³/s)</t>
  </si>
  <si>
    <t>J  (pertes totales en m)</t>
  </si>
  <si>
    <t>J  (pertes singul. en m)</t>
  </si>
  <si>
    <t>V  (en m/s)</t>
  </si>
  <si>
    <t>V²/2g (en m)</t>
  </si>
  <si>
    <t xml:space="preserve"> Notes à l'intention de</t>
  </si>
  <si>
    <t xml:space="preserve"> l'utilisateur  pour la</t>
  </si>
  <si>
    <t xml:space="preserve"> saisie des données :</t>
  </si>
  <si>
    <t>VIS (viscosité*10 exp 6)</t>
  </si>
  <si>
    <t>EPS (aspérités en mm)</t>
  </si>
  <si>
    <t>laminaire</t>
  </si>
  <si>
    <t>swamee</t>
  </si>
  <si>
    <t>Reynolds</t>
  </si>
  <si>
    <t>Régime</t>
  </si>
  <si>
    <t xml:space="preserve">f </t>
  </si>
  <si>
    <t>Y1</t>
  </si>
  <si>
    <t>Y2</t>
  </si>
  <si>
    <t>A ( m² )</t>
  </si>
  <si>
    <t>P (m)</t>
  </si>
  <si>
    <t>B (m)</t>
  </si>
  <si>
    <t>R (m)</t>
  </si>
  <si>
    <t>D (m)</t>
  </si>
  <si>
    <t>IMPULSION (M³) =</t>
  </si>
  <si>
    <t>VALEURS À ÉGALISER</t>
  </si>
  <si>
    <t>V = (m/s)</t>
  </si>
  <si>
    <t xml:space="preserve">Fr = </t>
  </si>
  <si>
    <t>E = (m)</t>
  </si>
  <si>
    <t>Delta E = (m)</t>
  </si>
  <si>
    <t>Egout</t>
  </si>
  <si>
    <t>D nomi.</t>
  </si>
  <si>
    <t>U</t>
  </si>
  <si>
    <t>Aqueduc</t>
  </si>
  <si>
    <t xml:space="preserve">VISUAL BUTÉES </t>
  </si>
  <si>
    <t>Jean Paquin, Université de Sherbrooke (09/97)</t>
  </si>
  <si>
    <t>Résultats</t>
  </si>
  <si>
    <t xml:space="preserve">Pression </t>
  </si>
  <si>
    <t>Diamètre</t>
  </si>
  <si>
    <t>(Kpa)</t>
  </si>
  <si>
    <t>(mm)</t>
  </si>
  <si>
    <t>Type de sol</t>
  </si>
  <si>
    <t>Sable</t>
  </si>
  <si>
    <r>
      <t>Cp</t>
    </r>
    <r>
      <rPr>
        <sz val="10"/>
        <rFont val="Arial"/>
        <family val="0"/>
      </rPr>
      <t xml:space="preserve"> (Capacité portante du sol en kPa)</t>
    </r>
  </si>
  <si>
    <t>Type de sol (non-remanié)</t>
  </si>
  <si>
    <r>
      <t>R</t>
    </r>
    <r>
      <rPr>
        <sz val="10"/>
        <rFont val="Arial"/>
        <family val="0"/>
      </rPr>
      <t xml:space="preserve"> (Réaction en kN)</t>
    </r>
  </si>
  <si>
    <r>
      <t>S</t>
    </r>
    <r>
      <rPr>
        <sz val="10"/>
        <rFont val="Arial"/>
        <family val="0"/>
      </rPr>
      <t xml:space="preserve"> (surface d'appui en m²)</t>
    </r>
  </si>
  <si>
    <t>Cp (kpa)</t>
  </si>
  <si>
    <t>Sol</t>
  </si>
  <si>
    <t>Boue,tourbe,etc.</t>
  </si>
  <si>
    <t>Argile molle</t>
  </si>
  <si>
    <t>Sable et Gravier</t>
  </si>
  <si>
    <t>Sable et Gravier avec de l'argile</t>
  </si>
  <si>
    <t>Sable et Gravier cimentés avec de l'argile</t>
  </si>
  <si>
    <t>Shiste ("hard pan")</t>
  </si>
  <si>
    <t>Réaction Coude</t>
  </si>
  <si>
    <t>Bouchon</t>
  </si>
  <si>
    <t>Réduit</t>
  </si>
  <si>
    <t>Réaction</t>
  </si>
  <si>
    <t>Angle</t>
  </si>
  <si>
    <t>Aire</t>
  </si>
  <si>
    <t>Sélection de réaction</t>
  </si>
  <si>
    <t>Bertrand Côté, ing., Université de Sherbrooke (2002)</t>
  </si>
  <si>
    <t>Darcy-Weisbach</t>
  </si>
  <si>
    <t>Ressaut Canal</t>
  </si>
  <si>
    <t xml:space="preserve">Es  Canal                    </t>
  </si>
  <si>
    <t xml:space="preserve">Canal                    </t>
  </si>
  <si>
    <t xml:space="preserve">Profil  Canal                    </t>
  </si>
  <si>
    <t>Conduite</t>
  </si>
  <si>
    <t xml:space="preserve">Profil  Conduite                    </t>
  </si>
  <si>
    <t>SOLVEUR</t>
  </si>
  <si>
    <t>Ressaut Conduite</t>
  </si>
  <si>
    <t>Hazen-Williams</t>
  </si>
  <si>
    <t>Avec Canal</t>
  </si>
  <si>
    <t>n/np</t>
  </si>
  <si>
    <r>
      <t>S</t>
    </r>
    <r>
      <rPr>
        <b/>
        <sz val="10"/>
        <rFont val="Arial"/>
        <family val="0"/>
      </rPr>
      <t>k</t>
    </r>
  </si>
  <si>
    <t>J = ( m 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</si>
</sst>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"/>
    <numFmt numFmtId="173" formatCode="0.0000"/>
    <numFmt numFmtId="174" formatCode="0.00000"/>
    <numFmt numFmtId="175" formatCode="0.0000000"/>
    <numFmt numFmtId="176" formatCode="0.000000"/>
    <numFmt numFmtId="177" formatCode="0.000000000"/>
    <numFmt numFmtId="178" formatCode="0.0000000000"/>
    <numFmt numFmtId="179" formatCode="0.00000000"/>
    <numFmt numFmtId="180" formatCode="0.0"/>
    <numFmt numFmtId="181" formatCode=";;;"/>
    <numFmt numFmtId="182" formatCode="0.000E+00"/>
    <numFmt numFmtId="183" formatCode="d/m/yy"/>
    <numFmt numFmtId="184" formatCode="d\ mmmm\ yyyy"/>
    <numFmt numFmtId="185" formatCode="00000"/>
    <numFmt numFmtId="186" formatCode="d/m"/>
    <numFmt numFmtId="187" formatCode="d/mmm/yy"/>
    <numFmt numFmtId="188" formatCode=";;"/>
    <numFmt numFmtId="189" formatCode="0.00000000000"/>
    <numFmt numFmtId="190" formatCode="0.000000000000"/>
    <numFmt numFmtId="191" formatCode="0.0000000000000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81" fontId="0" fillId="2" borderId="2" xfId="0" applyNumberFormat="1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81" fontId="0" fillId="2" borderId="3" xfId="0" applyNumberFormat="1" applyFill="1" applyBorder="1" applyAlignment="1">
      <alignment/>
    </xf>
    <xf numFmtId="181" fontId="0" fillId="2" borderId="5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1" fillId="5" borderId="1" xfId="0" applyFont="1" applyFill="1" applyBorder="1" applyAlignment="1">
      <alignment horizontal="left"/>
    </xf>
    <xf numFmtId="0" fontId="0" fillId="5" borderId="2" xfId="0" applyFill="1" applyBorder="1" applyAlignment="1">
      <alignment/>
    </xf>
    <xf numFmtId="172" fontId="1" fillId="5" borderId="0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5" borderId="7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174" fontId="1" fillId="5" borderId="0" xfId="0" applyNumberFormat="1" applyFont="1" applyFill="1" applyBorder="1" applyAlignment="1">
      <alignment/>
    </xf>
    <xf numFmtId="174" fontId="1" fillId="4" borderId="2" xfId="0" applyNumberFormat="1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172" fontId="1" fillId="4" borderId="0" xfId="0" applyNumberFormat="1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>
      <alignment/>
    </xf>
    <xf numFmtId="0" fontId="0" fillId="2" borderId="5" xfId="0" applyFill="1" applyBorder="1" applyAlignment="1" applyProtection="1">
      <alignment/>
      <protection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2" fontId="1" fillId="4" borderId="9" xfId="0" applyNumberFormat="1" applyFont="1" applyFill="1" applyBorder="1" applyAlignment="1" applyProtection="1">
      <alignment horizontal="right"/>
      <protection locked="0"/>
    </xf>
    <xf numFmtId="0" fontId="0" fillId="2" borderId="9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 applyProtection="1">
      <alignment horizontal="right"/>
      <protection/>
    </xf>
    <xf numFmtId="180" fontId="1" fillId="4" borderId="0" xfId="0" applyNumberFormat="1" applyFont="1" applyFill="1" applyBorder="1" applyAlignment="1" applyProtection="1">
      <alignment horizontal="right"/>
      <protection locked="0"/>
    </xf>
    <xf numFmtId="2" fontId="1" fillId="5" borderId="0" xfId="0" applyNumberFormat="1" applyFont="1" applyFill="1" applyBorder="1" applyAlignment="1">
      <alignment horizontal="right"/>
    </xf>
    <xf numFmtId="2" fontId="1" fillId="5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5" borderId="0" xfId="0" applyFont="1" applyFill="1" applyBorder="1" applyAlignment="1">
      <alignment/>
    </xf>
    <xf numFmtId="172" fontId="1" fillId="5" borderId="0" xfId="0" applyNumberFormat="1" applyFont="1" applyFill="1" applyBorder="1" applyAlignment="1">
      <alignment horizontal="right"/>
    </xf>
    <xf numFmtId="172" fontId="1" fillId="5" borderId="0" xfId="0" applyNumberFormat="1" applyFont="1" applyFill="1" applyBorder="1" applyAlignment="1" applyProtection="1">
      <alignment horizontal="right"/>
      <protection/>
    </xf>
    <xf numFmtId="1" fontId="1" fillId="5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 applyProtection="1">
      <alignment horizontal="right"/>
      <protection locked="0"/>
    </xf>
    <xf numFmtId="180" fontId="1" fillId="2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right"/>
    </xf>
    <xf numFmtId="172" fontId="1" fillId="4" borderId="0" xfId="0" applyNumberFormat="1" applyFont="1" applyFill="1" applyBorder="1" applyAlignment="1" applyProtection="1">
      <alignment horizontal="right"/>
      <protection locked="0"/>
    </xf>
    <xf numFmtId="173" fontId="1" fillId="5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left"/>
    </xf>
    <xf numFmtId="172" fontId="1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74" fontId="1" fillId="5" borderId="0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2" fontId="1" fillId="4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2" fontId="1" fillId="5" borderId="0" xfId="0" applyNumberFormat="1" applyFont="1" applyFill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181" fontId="0" fillId="2" borderId="0" xfId="0" applyNumberFormat="1" applyFill="1" applyBorder="1" applyAlignment="1">
      <alignment/>
    </xf>
    <xf numFmtId="0" fontId="0" fillId="4" borderId="3" xfId="0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5" borderId="0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1" fillId="3" borderId="0" xfId="0" applyNumberFormat="1" applyFont="1" applyFill="1" applyBorder="1" applyAlignment="1" applyProtection="1">
      <alignment horizontal="center"/>
      <protection locked="0"/>
    </xf>
    <xf numFmtId="172" fontId="1" fillId="3" borderId="0" xfId="0" applyNumberFormat="1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81" fontId="0" fillId="2" borderId="2" xfId="0" applyNumberFormat="1" applyFill="1" applyBorder="1" applyAlignment="1">
      <alignment/>
    </xf>
    <xf numFmtId="174" fontId="1" fillId="2" borderId="0" xfId="0" applyNumberFormat="1" applyFont="1" applyFill="1" applyBorder="1" applyAlignment="1">
      <alignment horizontal="right"/>
    </xf>
    <xf numFmtId="172" fontId="1" fillId="4" borderId="0" xfId="0" applyNumberFormat="1" applyFont="1" applyFill="1" applyAlignment="1" applyProtection="1">
      <alignment horizontal="right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80" fontId="1" fillId="0" borderId="0" xfId="0" applyNumberFormat="1" applyFont="1" applyAlignment="1" applyProtection="1">
      <alignment/>
      <protection locked="0"/>
    </xf>
    <xf numFmtId="172" fontId="1" fillId="4" borderId="2" xfId="0" applyNumberFormat="1" applyFont="1" applyFill="1" applyBorder="1" applyAlignment="1" applyProtection="1">
      <alignment/>
      <protection locked="0"/>
    </xf>
    <xf numFmtId="172" fontId="1" fillId="2" borderId="0" xfId="0" applyNumberFormat="1" applyFont="1" applyFill="1" applyAlignment="1">
      <alignment horizontal="center"/>
    </xf>
    <xf numFmtId="172" fontId="1" fillId="5" borderId="0" xfId="0" applyNumberFormat="1" applyFont="1" applyFill="1" applyAlignment="1">
      <alignment horizontal="center"/>
    </xf>
    <xf numFmtId="172" fontId="1" fillId="3" borderId="0" xfId="0" applyNumberFormat="1" applyFont="1" applyFill="1" applyAlignment="1" applyProtection="1">
      <alignment horizontal="center"/>
      <protection locked="0"/>
    </xf>
    <xf numFmtId="172" fontId="0" fillId="2" borderId="0" xfId="0" applyNumberFormat="1" applyFill="1" applyAlignment="1">
      <alignment/>
    </xf>
    <xf numFmtId="172" fontId="0" fillId="3" borderId="0" xfId="0" applyNumberFormat="1" applyFill="1" applyAlignment="1" applyProtection="1">
      <alignment/>
      <protection locked="0"/>
    </xf>
    <xf numFmtId="172" fontId="0" fillId="0" borderId="0" xfId="0" applyNumberFormat="1" applyAlignment="1">
      <alignment/>
    </xf>
    <xf numFmtId="0" fontId="1" fillId="4" borderId="0" xfId="0" applyNumberFormat="1" applyFont="1" applyFill="1" applyBorder="1" applyAlignment="1" applyProtection="1">
      <alignment/>
      <protection locked="0"/>
    </xf>
    <xf numFmtId="172" fontId="1" fillId="5" borderId="7" xfId="0" applyNumberFormat="1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82" fontId="1" fillId="5" borderId="0" xfId="0" applyNumberFormat="1" applyFont="1" applyFill="1" applyBorder="1" applyAlignment="1" applyProtection="1">
      <alignment horizontal="right"/>
      <protection/>
    </xf>
    <xf numFmtId="172" fontId="1" fillId="2" borderId="0" xfId="0" applyNumberFormat="1" applyFont="1" applyFill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172" fontId="1" fillId="5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2" fontId="0" fillId="4" borderId="7" xfId="0" applyNumberForma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2" fontId="0" fillId="5" borderId="7" xfId="0" applyNumberForma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181" fontId="0" fillId="2" borderId="2" xfId="0" applyNumberFormat="1" applyFill="1" applyBorder="1" applyAlignment="1" applyProtection="1">
      <alignment/>
      <protection/>
    </xf>
    <xf numFmtId="181" fontId="0" fillId="2" borderId="0" xfId="0" applyNumberFormat="1" applyFill="1" applyBorder="1" applyAlignment="1" applyProtection="1">
      <alignment/>
      <protection/>
    </xf>
    <xf numFmtId="181" fontId="1" fillId="2" borderId="0" xfId="0" applyNumberFormat="1" applyFont="1" applyFill="1" applyBorder="1" applyAlignment="1" applyProtection="1">
      <alignment/>
      <protection/>
    </xf>
    <xf numFmtId="172" fontId="1" fillId="4" borderId="4" xfId="0" applyNumberFormat="1" applyFont="1" applyFill="1" applyBorder="1" applyAlignment="1" applyProtection="1">
      <alignment horizontal="center"/>
      <protection locked="0"/>
    </xf>
    <xf numFmtId="172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72" fontId="1" fillId="7" borderId="0" xfId="0" applyNumberFormat="1" applyFont="1" applyFill="1" applyBorder="1" applyAlignment="1" applyProtection="1">
      <alignment horizontal="center"/>
      <protection/>
    </xf>
    <xf numFmtId="2" fontId="1" fillId="7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72" fontId="1" fillId="7" borderId="0" xfId="0" applyNumberFormat="1" applyFont="1" applyFill="1" applyBorder="1" applyAlignment="1" applyProtection="1">
      <alignment horizontal="center"/>
      <protection locked="0"/>
    </xf>
    <xf numFmtId="2" fontId="1" fillId="7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3" borderId="9" xfId="0" applyFont="1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1" fillId="3" borderId="27" xfId="0" applyFont="1" applyFill="1" applyBorder="1" applyAlignment="1">
      <alignment horizontal="centerContinuous"/>
    </xf>
    <xf numFmtId="0" fontId="0" fillId="2" borderId="28" xfId="0" applyFill="1" applyBorder="1" applyAlignment="1">
      <alignment/>
    </xf>
    <xf numFmtId="0" fontId="7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188" fontId="1" fillId="2" borderId="29" xfId="0" applyNumberFormat="1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49" fontId="1" fillId="2" borderId="29" xfId="0" applyNumberFormat="1" applyFont="1" applyFill="1" applyBorder="1" applyAlignment="1" applyProtection="1">
      <alignment/>
      <protection hidden="1"/>
    </xf>
    <xf numFmtId="0" fontId="1" fillId="3" borderId="24" xfId="0" applyFont="1" applyFill="1" applyBorder="1" applyAlignment="1">
      <alignment horizontal="centerContinuous"/>
    </xf>
    <xf numFmtId="0" fontId="0" fillId="3" borderId="31" xfId="0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5" borderId="1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1" xfId="0" applyFill="1" applyBorder="1" applyAlignment="1">
      <alignment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Border="1" applyAlignment="1" applyProtection="1" quotePrefix="1">
      <alignment horizontal="left"/>
      <protection locked="0"/>
    </xf>
    <xf numFmtId="0" fontId="0" fillId="8" borderId="40" xfId="0" applyFill="1" applyBorder="1" applyAlignment="1" applyProtection="1">
      <alignment horizontal="left"/>
      <protection locked="0"/>
    </xf>
    <xf numFmtId="0" fontId="0" fillId="5" borderId="40" xfId="0" applyFill="1" applyBorder="1" applyAlignment="1" applyProtection="1">
      <alignment horizontal="left"/>
      <protection locked="0"/>
    </xf>
    <xf numFmtId="0" fontId="0" fillId="8" borderId="22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 horizontal="left"/>
      <protection locked="0"/>
    </xf>
    <xf numFmtId="0" fontId="0" fillId="5" borderId="38" xfId="0" applyFill="1" applyBorder="1" applyAlignment="1" applyProtection="1">
      <alignment horizontal="left"/>
      <protection locked="0"/>
    </xf>
    <xf numFmtId="0" fontId="0" fillId="8" borderId="0" xfId="0" applyFill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176" fontId="1" fillId="2" borderId="38" xfId="0" applyNumberFormat="1" applyFont="1" applyFill="1" applyBorder="1" applyAlignment="1" applyProtection="1">
      <alignment horizontal="left"/>
      <protection locked="0"/>
    </xf>
    <xf numFmtId="180" fontId="1" fillId="5" borderId="20" xfId="0" applyNumberFormat="1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1" fillId="5" borderId="20" xfId="0" applyFont="1" applyFill="1" applyBorder="1" applyAlignment="1" applyProtection="1">
      <alignment horizontal="left"/>
      <protection locked="0"/>
    </xf>
    <xf numFmtId="1" fontId="1" fillId="2" borderId="42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horizontal="centerContinuous"/>
    </xf>
    <xf numFmtId="0" fontId="0" fillId="3" borderId="43" xfId="0" applyFill="1" applyBorder="1" applyAlignment="1">
      <alignment/>
    </xf>
    <xf numFmtId="180" fontId="1" fillId="5" borderId="42" xfId="0" applyNumberFormat="1" applyFont="1" applyFill="1" applyBorder="1" applyAlignment="1" applyProtection="1">
      <alignment horizontal="left"/>
      <protection locked="0"/>
    </xf>
    <xf numFmtId="2" fontId="7" fillId="5" borderId="44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172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" fillId="9" borderId="2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172" fontId="1" fillId="4" borderId="0" xfId="0" applyNumberFormat="1" applyFont="1" applyFill="1" applyAlignment="1">
      <alignment horizontal="center"/>
    </xf>
    <xf numFmtId="2" fontId="0" fillId="4" borderId="2" xfId="0" applyNumberFormat="1" applyFill="1" applyBorder="1" applyAlignment="1">
      <alignment/>
    </xf>
    <xf numFmtId="180" fontId="1" fillId="4" borderId="0" xfId="0" applyNumberFormat="1" applyFont="1" applyFill="1" applyBorder="1" applyAlignment="1" applyProtection="1">
      <alignment/>
      <protection locked="0"/>
    </xf>
    <xf numFmtId="2" fontId="1" fillId="10" borderId="0" xfId="0" applyNumberFormat="1" applyFont="1" applyFill="1" applyBorder="1" applyAlignment="1">
      <alignment horizontal="right"/>
    </xf>
    <xf numFmtId="2" fontId="1" fillId="10" borderId="0" xfId="0" applyNumberFormat="1" applyFont="1" applyFill="1" applyBorder="1" applyAlignment="1">
      <alignment horizontal="center"/>
    </xf>
    <xf numFmtId="172" fontId="1" fillId="10" borderId="0" xfId="0" applyNumberFormat="1" applyFont="1" applyFill="1" applyBorder="1" applyAlignment="1">
      <alignment horizontal="center"/>
    </xf>
    <xf numFmtId="174" fontId="1" fillId="10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Alignment="1">
      <alignment horizontal="center"/>
    </xf>
    <xf numFmtId="172" fontId="1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6" xfId="0" applyFill="1" applyBorder="1" applyAlignment="1">
      <alignment/>
    </xf>
    <xf numFmtId="2" fontId="0" fillId="10" borderId="7" xfId="0" applyNumberFormat="1" applyFill="1" applyBorder="1" applyAlignment="1">
      <alignment/>
    </xf>
    <xf numFmtId="174" fontId="1" fillId="7" borderId="0" xfId="0" applyNumberFormat="1" applyFont="1" applyFill="1" applyBorder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>
      <alignment horizontal="center"/>
    </xf>
    <xf numFmtId="172" fontId="1" fillId="7" borderId="0" xfId="0" applyNumberFormat="1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4" xfId="0" applyFill="1" applyBorder="1" applyAlignment="1">
      <alignment/>
    </xf>
    <xf numFmtId="2" fontId="0" fillId="7" borderId="0" xfId="0" applyNumberFormat="1" applyFill="1" applyBorder="1" applyAlignment="1">
      <alignment/>
    </xf>
    <xf numFmtId="2" fontId="1" fillId="4" borderId="0" xfId="0" applyNumberFormat="1" applyFont="1" applyFill="1" applyBorder="1" applyAlignment="1" applyProtection="1">
      <alignment horizontal="center"/>
      <protection/>
    </xf>
    <xf numFmtId="174" fontId="1" fillId="4" borderId="0" xfId="0" applyNumberFormat="1" applyFont="1" applyFill="1" applyBorder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172" fontId="1" fillId="4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4" fillId="4" borderId="1" xfId="0" applyFont="1" applyFill="1" applyBorder="1" applyAlignment="1">
      <alignment horizontal="left"/>
    </xf>
    <xf numFmtId="172" fontId="1" fillId="11" borderId="0" xfId="0" applyNumberFormat="1" applyFont="1" applyFill="1" applyBorder="1" applyAlignment="1" applyProtection="1">
      <alignment horizontal="center"/>
      <protection/>
    </xf>
    <xf numFmtId="176" fontId="1" fillId="11" borderId="0" xfId="0" applyNumberFormat="1" applyFont="1" applyFill="1" applyBorder="1" applyAlignment="1">
      <alignment/>
    </xf>
    <xf numFmtId="173" fontId="1" fillId="11" borderId="0" xfId="0" applyNumberFormat="1" applyFont="1" applyFill="1" applyBorder="1" applyAlignment="1">
      <alignment/>
    </xf>
    <xf numFmtId="0" fontId="1" fillId="11" borderId="0" xfId="0" applyFont="1" applyFill="1" applyBorder="1" applyAlignment="1" applyProtection="1">
      <alignment horizontal="center"/>
      <protection/>
    </xf>
    <xf numFmtId="0" fontId="0" fillId="12" borderId="0" xfId="0" applyFill="1" applyAlignment="1">
      <alignment/>
    </xf>
    <xf numFmtId="0" fontId="1" fillId="12" borderId="0" xfId="0" applyFont="1" applyFill="1" applyAlignment="1">
      <alignment horizontal="center"/>
    </xf>
    <xf numFmtId="0" fontId="1" fillId="12" borderId="0" xfId="0" applyFont="1" applyFill="1" applyAlignment="1">
      <alignment horizontal="right"/>
    </xf>
    <xf numFmtId="173" fontId="1" fillId="11" borderId="0" xfId="0" applyNumberFormat="1" applyFont="1" applyFill="1" applyBorder="1" applyAlignment="1" applyProtection="1">
      <alignment horizontal="center"/>
      <protection/>
    </xf>
    <xf numFmtId="172" fontId="1" fillId="11" borderId="0" xfId="0" applyNumberFormat="1" applyFont="1" applyFill="1" applyBorder="1" applyAlignment="1" applyProtection="1">
      <alignment horizontal="center"/>
      <protection/>
    </xf>
    <xf numFmtId="0" fontId="1" fillId="6" borderId="0" xfId="0" applyFont="1" applyFill="1" applyAlignment="1">
      <alignment/>
    </xf>
    <xf numFmtId="2" fontId="1" fillId="6" borderId="5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Énergie spécifique en canal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7"/>
          <c:w val="0.9565"/>
          <c:h val="0.834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Canal'!$B$12:$B$33</c:f>
              <c:numCache>
                <c:ptCount val="22"/>
                <c:pt idx="0">
                  <c:v>4.3122644291118</c:v>
                </c:pt>
                <c:pt idx="1">
                  <c:v>1.0848680484766113</c:v>
                </c:pt>
                <c:pt idx="2">
                  <c:v>0.6350979591864088</c:v>
                </c:pt>
                <c:pt idx="3">
                  <c:v>0.5625267844140714</c:v>
                </c:pt>
                <c:pt idx="4">
                  <c:v>0.590610488164005</c:v>
                </c:pt>
                <c:pt idx="5">
                  <c:v>0.6553042530297882</c:v>
                </c:pt>
                <c:pt idx="6">
                  <c:v>0.735992090666092</c:v>
                </c:pt>
                <c:pt idx="7">
                  <c:v>0.8245796680132391</c:v>
                </c:pt>
                <c:pt idx="8">
                  <c:v>0.9174304570952609</c:v>
                </c:pt>
                <c:pt idx="9">
                  <c:v>1.0127420998980632</c:v>
                </c:pt>
                <c:pt idx="10">
                  <c:v>1.1095516200206617</c:v>
                </c:pt>
                <c:pt idx="11">
                  <c:v>1.2073129590783191</c:v>
                </c:pt>
                <c:pt idx="12">
                  <c:v>1.305701099494665</c:v>
                </c:pt>
                <c:pt idx="13">
                  <c:v>1.404514632900391</c:v>
                </c:pt>
                <c:pt idx="14">
                  <c:v>1.5036244195265605</c:v>
                </c:pt>
                <c:pt idx="15">
                  <c:v>1.6029451969069122</c:v>
                </c:pt>
                <c:pt idx="16">
                  <c:v>1.7024192214576663</c:v>
                </c:pt>
                <c:pt idx="17">
                  <c:v>1.8020065035112853</c:v>
                </c:pt>
                <c:pt idx="18">
                  <c:v>1.901678795510959</c:v>
                </c:pt>
                <c:pt idx="19">
                  <c:v>2.001415788877563</c:v>
                </c:pt>
                <c:pt idx="20">
                  <c:v>2.101202649347035</c:v>
                </c:pt>
              </c:numCache>
            </c:numRef>
          </c:xVal>
          <c:yVal>
            <c:numRef>
              <c:f>'ES Canal'!$A$12:$A$33</c:f>
              <c:numCache>
                <c:ptCount val="22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</c:numCache>
            </c:numRef>
          </c:yVal>
          <c:smooth val="1"/>
        </c:ser>
        <c:axId val="31081503"/>
        <c:axId val="16923492"/>
      </c:scatterChart>
      <c:valAx>
        <c:axId val="3108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Énergie (m))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923492"/>
        <c:crosses val="autoZero"/>
        <c:crossBetween val="midCat"/>
        <c:dispUnits/>
      </c:valAx>
      <c:valAx>
        <c:axId val="16923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1081503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remous en canal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'Profil Canal'!$A$18:$A$49</c:f>
              <c:numCache>
                <c:ptCount val="32"/>
                <c:pt idx="0">
                  <c:v>0</c:v>
                </c:pt>
                <c:pt idx="1">
                  <c:v>-2851.431350856504</c:v>
                </c:pt>
                <c:pt idx="2">
                  <c:v>-2737.4956894039087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'Profil Canal'!$B$18:$B$49</c:f>
              <c:numCache>
                <c:ptCount val="32"/>
                <c:pt idx="0">
                  <c:v>3</c:v>
                </c:pt>
                <c:pt idx="1">
                  <c:v>1.91</c:v>
                </c:pt>
                <c:pt idx="2">
                  <c:v>0.8199999999999998</c:v>
                </c:pt>
                <c:pt idx="3">
                  <c:v>-0.27000000000000024</c:v>
                </c:pt>
                <c:pt idx="4">
                  <c:v>-1.3600000000000003</c:v>
                </c:pt>
                <c:pt idx="5">
                  <c:v>-2.45</c:v>
                </c:pt>
                <c:pt idx="6">
                  <c:v>-3.54</c:v>
                </c:pt>
                <c:pt idx="7">
                  <c:v>-4.63</c:v>
                </c:pt>
                <c:pt idx="8">
                  <c:v>-5.72</c:v>
                </c:pt>
                <c:pt idx="9">
                  <c:v>-6.81</c:v>
                </c:pt>
                <c:pt idx="10">
                  <c:v>-7.8999999999999995</c:v>
                </c:pt>
                <c:pt idx="11">
                  <c:v>-8.99</c:v>
                </c:pt>
                <c:pt idx="12">
                  <c:v>-10.08</c:v>
                </c:pt>
                <c:pt idx="13">
                  <c:v>-11.17</c:v>
                </c:pt>
                <c:pt idx="14">
                  <c:v>-12.26</c:v>
                </c:pt>
                <c:pt idx="15">
                  <c:v>-13.35</c:v>
                </c:pt>
              </c:numCache>
            </c:numRef>
          </c:yVal>
          <c:smooth val="1"/>
        </c:ser>
        <c:axId val="25700053"/>
        <c:axId val="24199362"/>
      </c:scatterChart>
      <c:valAx>
        <c:axId val="2570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99362"/>
        <c:crosses val="autoZero"/>
        <c:crossBetween val="midCat"/>
        <c:dispUnits/>
      </c:valAx>
      <c:valAx>
        <c:axId val="2419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00053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remous en conduite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7"/>
          <c:w val="0.9565"/>
          <c:h val="0.834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'Profil Conduite'!$A$18:$A$23</c:f>
              <c:numCache>
                <c:ptCount val="6"/>
                <c:pt idx="0">
                  <c:v>0</c:v>
                </c:pt>
                <c:pt idx="1">
                  <c:v>-58.32730986974755</c:v>
                </c:pt>
                <c:pt idx="2">
                  <c:v>-117.017325018594</c:v>
                </c:pt>
                <c:pt idx="3">
                  <c:v>-177.30415298589523</c:v>
                </c:pt>
                <c:pt idx="4">
                  <c:v>-239.4310960701641</c:v>
                </c:pt>
                <c:pt idx="5">
                  <c:v>-304.41792672532057</c:v>
                </c:pt>
              </c:numCache>
            </c:numRef>
          </c:xVal>
          <c:yVal>
            <c:numRef>
              <c:f>'Profil Conduite'!$B$18:$B$23</c:f>
              <c:numCache>
                <c:ptCount val="6"/>
                <c:pt idx="0">
                  <c:v>0.99</c:v>
                </c:pt>
                <c:pt idx="1">
                  <c:v>0.94</c:v>
                </c:pt>
                <c:pt idx="2">
                  <c:v>0.8899999999999999</c:v>
                </c:pt>
                <c:pt idx="3">
                  <c:v>0.8399999999999999</c:v>
                </c:pt>
                <c:pt idx="4">
                  <c:v>0.7899999999999998</c:v>
                </c:pt>
                <c:pt idx="5">
                  <c:v>0.7399999999999998</c:v>
                </c:pt>
              </c:numCache>
            </c:numRef>
          </c:yVal>
          <c:smooth val="1"/>
        </c:ser>
        <c:axId val="66874939"/>
        <c:axId val="52839440"/>
      </c:scatterChart>
      <c:valAx>
        <c:axId val="66874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39440"/>
        <c:crosses val="autoZero"/>
        <c:crossBetween val="midCat"/>
        <c:dispUnits/>
      </c:valAx>
      <c:valAx>
        <c:axId val="52839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74939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8</xdr:col>
      <xdr:colOff>9525</xdr:colOff>
      <xdr:row>5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19100"/>
          <a:ext cx="2276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8</xdr:col>
      <xdr:colOff>809625</xdr:colOff>
      <xdr:row>21</xdr:row>
      <xdr:rowOff>0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019425"/>
          <a:ext cx="3095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10</xdr:col>
      <xdr:colOff>9525</xdr:colOff>
      <xdr:row>17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371725"/>
          <a:ext cx="22955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0</xdr:rowOff>
    </xdr:from>
    <xdr:to>
      <xdr:col>9</xdr:col>
      <xdr:colOff>0</xdr:colOff>
      <xdr:row>18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33650"/>
          <a:ext cx="2286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9525</xdr:rowOff>
    </xdr:from>
    <xdr:to>
      <xdr:col>0</xdr:col>
      <xdr:colOff>1914525</xdr:colOff>
      <xdr:row>19</xdr:row>
      <xdr:rowOff>57150</xdr:rowOff>
    </xdr:to>
    <xdr:pic>
      <xdr:nvPicPr>
        <xdr:cNvPr id="1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19300"/>
          <a:ext cx="14954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20</xdr:row>
      <xdr:rowOff>28575</xdr:rowOff>
    </xdr:from>
    <xdr:to>
      <xdr:col>4</xdr:col>
      <xdr:colOff>723900</xdr:colOff>
      <xdr:row>22</xdr:row>
      <xdr:rowOff>152400</xdr:rowOff>
    </xdr:to>
    <xdr:pic>
      <xdr:nvPicPr>
        <xdr:cNvPr id="2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3343275"/>
          <a:ext cx="2219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600075</xdr:colOff>
      <xdr:row>12</xdr:row>
      <xdr:rowOff>19050</xdr:rowOff>
    </xdr:from>
    <xdr:to>
      <xdr:col>1</xdr:col>
      <xdr:colOff>2095500</xdr:colOff>
      <xdr:row>19</xdr:row>
      <xdr:rowOff>76200</xdr:rowOff>
    </xdr:to>
    <xdr:pic>
      <xdr:nvPicPr>
        <xdr:cNvPr id="3" name="Imag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028825"/>
          <a:ext cx="1495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</xdr:col>
      <xdr:colOff>600075</xdr:colOff>
      <xdr:row>12</xdr:row>
      <xdr:rowOff>9525</xdr:rowOff>
    </xdr:from>
    <xdr:to>
      <xdr:col>1</xdr:col>
      <xdr:colOff>2085975</xdr:colOff>
      <xdr:row>19</xdr:row>
      <xdr:rowOff>66675</xdr:rowOff>
    </xdr:to>
    <xdr:pic>
      <xdr:nvPicPr>
        <xdr:cNvPr id="4" name="Imag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2019300"/>
          <a:ext cx="1485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</xdr:col>
      <xdr:colOff>600075</xdr:colOff>
      <xdr:row>12</xdr:row>
      <xdr:rowOff>9525</xdr:rowOff>
    </xdr:from>
    <xdr:to>
      <xdr:col>1</xdr:col>
      <xdr:colOff>2085975</xdr:colOff>
      <xdr:row>19</xdr:row>
      <xdr:rowOff>57150</xdr:rowOff>
    </xdr:to>
    <xdr:pic>
      <xdr:nvPicPr>
        <xdr:cNvPr id="5" name="Imag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2019300"/>
          <a:ext cx="14859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18</xdr:row>
      <xdr:rowOff>0</xdr:rowOff>
    </xdr:from>
    <xdr:to>
      <xdr:col>9</xdr:col>
      <xdr:colOff>0</xdr:colOff>
      <xdr:row>21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019425"/>
          <a:ext cx="3067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10</xdr:col>
      <xdr:colOff>19050</xdr:colOff>
      <xdr:row>5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9100"/>
          <a:ext cx="3057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85725</xdr:colOff>
      <xdr:row>35</xdr:row>
      <xdr:rowOff>47625</xdr:rowOff>
    </xdr:from>
    <xdr:to>
      <xdr:col>13</xdr:col>
      <xdr:colOff>209550</xdr:colOff>
      <xdr:row>44</xdr:row>
      <xdr:rowOff>28575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5829300"/>
          <a:ext cx="23241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47625</xdr:colOff>
      <xdr:row>26</xdr:row>
      <xdr:rowOff>85725</xdr:rowOff>
    </xdr:from>
    <xdr:to>
      <xdr:col>13</xdr:col>
      <xdr:colOff>152400</xdr:colOff>
      <xdr:row>35</xdr:row>
      <xdr:rowOff>47625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4410075"/>
          <a:ext cx="23050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38100</xdr:colOff>
      <xdr:row>17</xdr:row>
      <xdr:rowOff>95250</xdr:rowOff>
    </xdr:from>
    <xdr:to>
      <xdr:col>13</xdr:col>
      <xdr:colOff>142875</xdr:colOff>
      <xdr:row>26</xdr:row>
      <xdr:rowOff>66675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2962275"/>
          <a:ext cx="23050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38100</xdr:colOff>
      <xdr:row>8</xdr:row>
      <xdr:rowOff>85725</xdr:rowOff>
    </xdr:from>
    <xdr:to>
      <xdr:col>13</xdr:col>
      <xdr:colOff>152400</xdr:colOff>
      <xdr:row>17</xdr:row>
      <xdr:rowOff>76200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1495425"/>
          <a:ext cx="23145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19050</xdr:colOff>
      <xdr:row>0</xdr:row>
      <xdr:rowOff>9525</xdr:rowOff>
    </xdr:from>
    <xdr:to>
      <xdr:col>13</xdr:col>
      <xdr:colOff>114300</xdr:colOff>
      <xdr:row>8</xdr:row>
      <xdr:rowOff>47625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9525"/>
          <a:ext cx="22955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8</xdr:col>
      <xdr:colOff>400050</xdr:colOff>
      <xdr:row>2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26670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10</xdr:col>
      <xdr:colOff>0</xdr:colOff>
      <xdr:row>5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09575"/>
          <a:ext cx="3162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9</xdr:col>
      <xdr:colOff>9525</xdr:colOff>
      <xdr:row>21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019425"/>
          <a:ext cx="30575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53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12.28125" style="0" customWidth="1"/>
    <col min="2" max="16384" width="11.421875" style="0" customWidth="1"/>
  </cols>
  <sheetData>
    <row r="1" spans="1:10" ht="18.75" thickTop="1">
      <c r="A1" s="175" t="s">
        <v>151</v>
      </c>
      <c r="B1" s="176"/>
      <c r="C1" s="177" t="s">
        <v>0</v>
      </c>
      <c r="D1" s="178"/>
      <c r="E1" s="179"/>
      <c r="F1" s="325" t="s">
        <v>156</v>
      </c>
      <c r="G1" s="173"/>
      <c r="H1" s="173"/>
      <c r="I1" s="173"/>
      <c r="J1" s="15"/>
    </row>
    <row r="2" spans="1:10" ht="13.5" thickBot="1">
      <c r="A2" s="180" t="s">
        <v>148</v>
      </c>
      <c r="B2" s="181"/>
      <c r="C2" s="181"/>
      <c r="D2" s="182"/>
      <c r="E2" s="183"/>
      <c r="F2" s="173"/>
      <c r="G2" s="173"/>
      <c r="H2" s="173"/>
      <c r="I2" s="173"/>
      <c r="J2" s="15"/>
    </row>
    <row r="3" spans="1:10" ht="13.5" thickTop="1">
      <c r="A3" s="184" t="s">
        <v>1</v>
      </c>
      <c r="B3" s="185"/>
      <c r="C3" s="186" t="s">
        <v>2</v>
      </c>
      <c r="D3" s="178"/>
      <c r="E3" s="187"/>
      <c r="F3" s="188"/>
      <c r="G3" s="173"/>
      <c r="H3" s="173"/>
      <c r="I3" s="173"/>
      <c r="J3" s="15"/>
    </row>
    <row r="4" spans="1:10" ht="12.75">
      <c r="A4" s="188" t="s">
        <v>3</v>
      </c>
      <c r="B4" s="63"/>
      <c r="C4" s="189" t="s">
        <v>4</v>
      </c>
      <c r="D4" s="190"/>
      <c r="E4" s="191"/>
      <c r="F4" s="173"/>
      <c r="G4" s="173"/>
      <c r="H4" s="173"/>
      <c r="I4" s="173"/>
      <c r="J4" s="15"/>
    </row>
    <row r="5" spans="1:10" s="205" customFormat="1" ht="13.5" thickBot="1">
      <c r="A5" s="192" t="s">
        <v>5</v>
      </c>
      <c r="B5" s="193"/>
      <c r="C5" s="194" t="s">
        <v>6</v>
      </c>
      <c r="D5" s="195"/>
      <c r="E5" s="196"/>
      <c r="F5" s="173"/>
      <c r="G5" s="173"/>
      <c r="H5" s="173"/>
      <c r="I5" s="173"/>
      <c r="J5" s="15"/>
    </row>
    <row r="6" spans="1:10" s="206" customFormat="1" ht="13.5" thickTop="1">
      <c r="A6" s="211" t="s">
        <v>7</v>
      </c>
      <c r="B6" s="201">
        <v>1</v>
      </c>
      <c r="C6" s="34" t="s">
        <v>8</v>
      </c>
      <c r="D6" s="144">
        <v>0.1</v>
      </c>
      <c r="E6" s="197"/>
      <c r="F6" s="111"/>
      <c r="G6" s="198"/>
      <c r="H6" s="198"/>
      <c r="I6" s="173"/>
      <c r="J6" s="15"/>
    </row>
    <row r="7" spans="1:10" s="205" customFormat="1" ht="12.75">
      <c r="A7" s="167" t="s">
        <v>9</v>
      </c>
      <c r="B7" s="108">
        <v>1</v>
      </c>
      <c r="C7" s="34" t="s">
        <v>10</v>
      </c>
      <c r="D7" s="95">
        <v>0.1</v>
      </c>
      <c r="E7" s="73"/>
      <c r="F7" s="111"/>
      <c r="G7" s="198"/>
      <c r="H7" s="199"/>
      <c r="I7" s="173"/>
      <c r="J7" s="15"/>
    </row>
    <row r="8" spans="1:10" s="210" customFormat="1" ht="12.75">
      <c r="A8" s="167" t="s">
        <v>11</v>
      </c>
      <c r="B8" s="202">
        <v>1</v>
      </c>
      <c r="C8" s="168"/>
      <c r="D8" s="168"/>
      <c r="E8" s="73"/>
      <c r="F8" s="169"/>
      <c r="G8" s="198"/>
      <c r="H8" s="173"/>
      <c r="I8" s="173"/>
      <c r="J8" s="170"/>
    </row>
    <row r="9" spans="1:10" s="209" customFormat="1" ht="12.75">
      <c r="A9" s="167"/>
      <c r="B9" s="167"/>
      <c r="C9" s="168"/>
      <c r="D9" s="168"/>
      <c r="E9" s="73"/>
      <c r="F9" s="169"/>
      <c r="G9" s="173"/>
      <c r="H9" s="173" t="s">
        <v>0</v>
      </c>
      <c r="I9" s="173"/>
      <c r="J9" s="121"/>
    </row>
    <row r="10" spans="1:10" s="209" customFormat="1" ht="12.75">
      <c r="A10" s="171" t="s">
        <v>12</v>
      </c>
      <c r="B10" s="171" t="s">
        <v>13</v>
      </c>
      <c r="C10" s="172" t="s">
        <v>14</v>
      </c>
      <c r="D10" s="171" t="s">
        <v>15</v>
      </c>
      <c r="E10" s="171" t="s">
        <v>16</v>
      </c>
      <c r="F10" s="171" t="s">
        <v>17</v>
      </c>
      <c r="G10" s="171" t="s">
        <v>18</v>
      </c>
      <c r="H10" s="171" t="s">
        <v>19</v>
      </c>
      <c r="I10" s="171" t="s">
        <v>20</v>
      </c>
      <c r="J10" s="121"/>
    </row>
    <row r="11" spans="1:10" s="209" customFormat="1" ht="12.75">
      <c r="A11" s="111" t="s">
        <v>21</v>
      </c>
      <c r="B11" s="111" t="s">
        <v>21</v>
      </c>
      <c r="C11" s="174" t="s">
        <v>22</v>
      </c>
      <c r="D11" s="111" t="s">
        <v>21</v>
      </c>
      <c r="E11" s="111" t="s">
        <v>21</v>
      </c>
      <c r="F11" s="111" t="s">
        <v>21</v>
      </c>
      <c r="G11" s="111" t="s">
        <v>21</v>
      </c>
      <c r="H11" s="111" t="s">
        <v>23</v>
      </c>
      <c r="I11" s="111"/>
      <c r="J11" s="121"/>
    </row>
    <row r="12" spans="1:10" s="209" customFormat="1" ht="12.75">
      <c r="A12" s="166">
        <f>Yi_____m</f>
        <v>0.1</v>
      </c>
      <c r="B12" s="322">
        <f aca="true" t="shared" si="0" ref="B12:B27">A12+H12^2/2/9.81</f>
        <v>4.3122644291118</v>
      </c>
      <c r="C12" s="166">
        <f aca="true" t="shared" si="1" ref="C12:C27">($B$7+$B$8*A12)*A12</f>
        <v>0.11000000000000001</v>
      </c>
      <c r="D12" s="166">
        <f aca="true" t="shared" si="2" ref="D12:D27">(1+$B$8^2)^0.5*2*A12+$B$7</f>
        <v>1.2828427124746191</v>
      </c>
      <c r="E12" s="166">
        <f aca="true" t="shared" si="3" ref="E12:E27">$B$7+2*$B$8*A12</f>
        <v>1.2</v>
      </c>
      <c r="F12" s="166">
        <f aca="true" t="shared" si="4" ref="F12:F27">C12/D12</f>
        <v>0.08574706698673033</v>
      </c>
      <c r="G12" s="166">
        <f aca="true" t="shared" si="5" ref="G12:G27">C12/E12</f>
        <v>0.09166666666666669</v>
      </c>
      <c r="H12" s="119">
        <f aca="true" t="shared" si="6" ref="H12:H27">$B$6/C12</f>
        <v>9.09090909090909</v>
      </c>
      <c r="I12" s="119">
        <f aca="true" t="shared" si="7" ref="I12:I27">H12/(9.81*G12)^0.52</f>
        <v>9.607037427921272</v>
      </c>
      <c r="J12" s="121"/>
    </row>
    <row r="13" spans="1:10" s="209" customFormat="1" ht="12.75">
      <c r="A13" s="166">
        <f aca="true" t="shared" si="8" ref="A13:A28">A12+$D$7</f>
        <v>0.2</v>
      </c>
      <c r="B13" s="166">
        <f t="shared" si="0"/>
        <v>1.0848680484766113</v>
      </c>
      <c r="C13" s="166">
        <f t="shared" si="1"/>
        <v>0.24</v>
      </c>
      <c r="D13" s="166">
        <f t="shared" si="2"/>
        <v>1.5656854249492382</v>
      </c>
      <c r="E13" s="166">
        <f t="shared" si="3"/>
        <v>1.4</v>
      </c>
      <c r="F13" s="166">
        <f t="shared" si="4"/>
        <v>0.1532874970767395</v>
      </c>
      <c r="G13" s="166">
        <f t="shared" si="5"/>
        <v>0.17142857142857143</v>
      </c>
      <c r="H13" s="119">
        <f t="shared" si="6"/>
        <v>4.166666666666667</v>
      </c>
      <c r="I13" s="119">
        <f t="shared" si="7"/>
        <v>3.1797839090551983</v>
      </c>
      <c r="J13" s="121"/>
    </row>
    <row r="14" spans="1:10" s="209" customFormat="1" ht="12.75">
      <c r="A14" s="203">
        <f t="shared" si="8"/>
        <v>0.30000000000000004</v>
      </c>
      <c r="B14" s="203">
        <f t="shared" si="0"/>
        <v>0.6350979591864088</v>
      </c>
      <c r="C14" s="203">
        <f t="shared" si="1"/>
        <v>0.39000000000000007</v>
      </c>
      <c r="D14" s="203">
        <f t="shared" si="2"/>
        <v>1.8485281374238571</v>
      </c>
      <c r="E14" s="203">
        <f t="shared" si="3"/>
        <v>1.6</v>
      </c>
      <c r="F14" s="203">
        <f t="shared" si="4"/>
        <v>0.2109786657310563</v>
      </c>
      <c r="G14" s="203">
        <f t="shared" si="5"/>
        <v>0.24375000000000002</v>
      </c>
      <c r="H14" s="204">
        <f t="shared" si="6"/>
        <v>2.5641025641025634</v>
      </c>
      <c r="I14" s="204">
        <f t="shared" si="7"/>
        <v>1.6295072777493749</v>
      </c>
      <c r="J14" s="121"/>
    </row>
    <row r="15" spans="1:10" s="209" customFormat="1" ht="12.75">
      <c r="A15" s="207">
        <f t="shared" si="8"/>
        <v>0.4</v>
      </c>
      <c r="B15" s="207">
        <f t="shared" si="0"/>
        <v>0.5625267844140714</v>
      </c>
      <c r="C15" s="207">
        <f t="shared" si="1"/>
        <v>0.5599999999999999</v>
      </c>
      <c r="D15" s="207">
        <f t="shared" si="2"/>
        <v>2.1313708498984765</v>
      </c>
      <c r="E15" s="207">
        <f t="shared" si="3"/>
        <v>1.8</v>
      </c>
      <c r="F15" s="207">
        <f t="shared" si="4"/>
        <v>0.262741699796952</v>
      </c>
      <c r="G15" s="207">
        <f t="shared" si="5"/>
        <v>0.31111111111111106</v>
      </c>
      <c r="H15" s="208">
        <f t="shared" si="6"/>
        <v>1.7857142857142858</v>
      </c>
      <c r="I15" s="208">
        <f t="shared" si="7"/>
        <v>0.9996040746725193</v>
      </c>
      <c r="J15" s="121"/>
    </row>
    <row r="16" spans="1:10" s="209" customFormat="1" ht="12.75">
      <c r="A16" s="207">
        <f t="shared" si="8"/>
        <v>0.5</v>
      </c>
      <c r="B16" s="207">
        <f t="shared" si="0"/>
        <v>0.590610488164005</v>
      </c>
      <c r="C16" s="207">
        <f t="shared" si="1"/>
        <v>0.75</v>
      </c>
      <c r="D16" s="207">
        <f t="shared" si="2"/>
        <v>2.414213562373095</v>
      </c>
      <c r="E16" s="207">
        <f t="shared" si="3"/>
        <v>2</v>
      </c>
      <c r="F16" s="207">
        <f t="shared" si="4"/>
        <v>0.3106601717798213</v>
      </c>
      <c r="G16" s="207">
        <f t="shared" si="5"/>
        <v>0.375</v>
      </c>
      <c r="H16" s="208">
        <f t="shared" si="6"/>
        <v>1.3333333333333333</v>
      </c>
      <c r="I16" s="208">
        <f t="shared" si="7"/>
        <v>0.6772898910471433</v>
      </c>
      <c r="J16" s="121"/>
    </row>
    <row r="17" spans="1:10" s="209" customFormat="1" ht="12.75">
      <c r="A17" s="207">
        <f t="shared" si="8"/>
        <v>0.6</v>
      </c>
      <c r="B17" s="207">
        <f t="shared" si="0"/>
        <v>0.6553042530297882</v>
      </c>
      <c r="C17" s="207">
        <f t="shared" si="1"/>
        <v>0.96</v>
      </c>
      <c r="D17" s="207">
        <f t="shared" si="2"/>
        <v>2.6970562748477143</v>
      </c>
      <c r="E17" s="207">
        <f t="shared" si="3"/>
        <v>2.2</v>
      </c>
      <c r="F17" s="207">
        <f t="shared" si="4"/>
        <v>0.35594362970947097</v>
      </c>
      <c r="G17" s="207">
        <f t="shared" si="5"/>
        <v>0.4363636363636363</v>
      </c>
      <c r="H17" s="208">
        <f t="shared" si="6"/>
        <v>1.0416666666666667</v>
      </c>
      <c r="I17" s="208">
        <f t="shared" si="7"/>
        <v>0.48903465485218206</v>
      </c>
      <c r="J17" s="121"/>
    </row>
    <row r="18" spans="1:10" s="209" customFormat="1" ht="12.75">
      <c r="A18" s="207">
        <f t="shared" si="8"/>
        <v>0.7</v>
      </c>
      <c r="B18" s="207">
        <f t="shared" si="0"/>
        <v>0.735992090666092</v>
      </c>
      <c r="C18" s="207">
        <f t="shared" si="1"/>
        <v>1.19</v>
      </c>
      <c r="D18" s="207">
        <f t="shared" si="2"/>
        <v>2.979898987322333</v>
      </c>
      <c r="E18" s="207">
        <f t="shared" si="3"/>
        <v>2.4</v>
      </c>
      <c r="F18" s="207">
        <f t="shared" si="4"/>
        <v>0.39934239551834805</v>
      </c>
      <c r="G18" s="207">
        <f t="shared" si="5"/>
        <v>0.49583333333333335</v>
      </c>
      <c r="H18" s="208">
        <f t="shared" si="6"/>
        <v>0.8403361344537815</v>
      </c>
      <c r="I18" s="208">
        <f t="shared" si="7"/>
        <v>0.3691565516633753</v>
      </c>
      <c r="J18" s="121"/>
    </row>
    <row r="19" spans="1:10" s="209" customFormat="1" ht="12.75">
      <c r="A19" s="207">
        <f t="shared" si="8"/>
        <v>0.7999999999999999</v>
      </c>
      <c r="B19" s="207">
        <f t="shared" si="0"/>
        <v>0.8245796680132391</v>
      </c>
      <c r="C19" s="207">
        <f t="shared" si="1"/>
        <v>1.4399999999999997</v>
      </c>
      <c r="D19" s="207">
        <f t="shared" si="2"/>
        <v>3.262741699796952</v>
      </c>
      <c r="E19" s="207">
        <f t="shared" si="3"/>
        <v>2.5999999999999996</v>
      </c>
      <c r="F19" s="207">
        <f t="shared" si="4"/>
        <v>0.4413466135212647</v>
      </c>
      <c r="G19" s="207">
        <f t="shared" si="5"/>
        <v>0.5538461538461538</v>
      </c>
      <c r="H19" s="208">
        <f t="shared" si="6"/>
        <v>0.6944444444444445</v>
      </c>
      <c r="I19" s="208">
        <f t="shared" si="7"/>
        <v>0.28800980234664875</v>
      </c>
      <c r="J19" s="121"/>
    </row>
    <row r="20" spans="1:10" s="209" customFormat="1" ht="12.75">
      <c r="A20" s="207">
        <f t="shared" si="8"/>
        <v>0.8999999999999999</v>
      </c>
      <c r="B20" s="207">
        <f t="shared" si="0"/>
        <v>0.9174304570952609</v>
      </c>
      <c r="C20" s="207">
        <f t="shared" si="1"/>
        <v>1.7099999999999997</v>
      </c>
      <c r="D20" s="207">
        <f t="shared" si="2"/>
        <v>3.545584412271571</v>
      </c>
      <c r="E20" s="207">
        <f t="shared" si="3"/>
        <v>2.8</v>
      </c>
      <c r="F20" s="207">
        <f t="shared" si="4"/>
        <v>0.4822900264570048</v>
      </c>
      <c r="G20" s="207">
        <f t="shared" si="5"/>
        <v>0.6107142857142857</v>
      </c>
      <c r="H20" s="208">
        <f t="shared" si="6"/>
        <v>0.584795321637427</v>
      </c>
      <c r="I20" s="208">
        <f t="shared" si="7"/>
        <v>0.2305155380762899</v>
      </c>
      <c r="J20" s="121"/>
    </row>
    <row r="21" spans="1:10" s="209" customFormat="1" ht="12.75">
      <c r="A21" s="207">
        <f t="shared" si="8"/>
        <v>0.9999999999999999</v>
      </c>
      <c r="B21" s="207">
        <f t="shared" si="0"/>
        <v>1.0127420998980632</v>
      </c>
      <c r="C21" s="207">
        <f t="shared" si="1"/>
        <v>1.9999999999999998</v>
      </c>
      <c r="D21" s="207">
        <f t="shared" si="2"/>
        <v>3.82842712474619</v>
      </c>
      <c r="E21" s="207">
        <f t="shared" si="3"/>
        <v>3</v>
      </c>
      <c r="F21" s="207">
        <f t="shared" si="4"/>
        <v>0.5224077499274828</v>
      </c>
      <c r="G21" s="207">
        <f t="shared" si="5"/>
        <v>0.6666666666666666</v>
      </c>
      <c r="H21" s="208">
        <f t="shared" si="6"/>
        <v>0.5</v>
      </c>
      <c r="I21" s="208">
        <f t="shared" si="7"/>
        <v>0.18830834878854016</v>
      </c>
      <c r="J21" s="121"/>
    </row>
    <row r="22" spans="1:10" s="209" customFormat="1" ht="12.75">
      <c r="A22" s="207">
        <f t="shared" si="8"/>
        <v>1.0999999999999999</v>
      </c>
      <c r="B22" s="207">
        <f t="shared" si="0"/>
        <v>1.1095516200206617</v>
      </c>
      <c r="C22" s="207">
        <f t="shared" si="1"/>
        <v>2.309999999999999</v>
      </c>
      <c r="D22" s="207">
        <f t="shared" si="2"/>
        <v>4.111269837220808</v>
      </c>
      <c r="E22" s="207">
        <f t="shared" si="3"/>
        <v>3.1999999999999997</v>
      </c>
      <c r="F22" s="207">
        <f t="shared" si="4"/>
        <v>0.5618701986152153</v>
      </c>
      <c r="G22" s="207">
        <f t="shared" si="5"/>
        <v>0.7218749999999998</v>
      </c>
      <c r="H22" s="208">
        <f t="shared" si="6"/>
        <v>0.43290043290043306</v>
      </c>
      <c r="I22" s="208">
        <f t="shared" si="7"/>
        <v>0.15642994602477703</v>
      </c>
      <c r="J22" s="121"/>
    </row>
    <row r="23" spans="1:10" s="209" customFormat="1" ht="12.75">
      <c r="A23" s="207">
        <f t="shared" si="8"/>
        <v>1.2</v>
      </c>
      <c r="B23" s="207">
        <f t="shared" si="0"/>
        <v>1.2073129590783191</v>
      </c>
      <c r="C23" s="207">
        <f t="shared" si="1"/>
        <v>2.64</v>
      </c>
      <c r="D23" s="207">
        <f t="shared" si="2"/>
        <v>4.3941125496954285</v>
      </c>
      <c r="E23" s="207">
        <f t="shared" si="3"/>
        <v>3.4</v>
      </c>
      <c r="F23" s="207">
        <f t="shared" si="4"/>
        <v>0.600803909809499</v>
      </c>
      <c r="G23" s="207">
        <f t="shared" si="5"/>
        <v>0.7764705882352941</v>
      </c>
      <c r="H23" s="208">
        <f t="shared" si="6"/>
        <v>0.3787878787878788</v>
      </c>
      <c r="I23" s="208">
        <f t="shared" si="7"/>
        <v>0.13178415134613983</v>
      </c>
      <c r="J23" s="121"/>
    </row>
    <row r="24" spans="1:10" s="209" customFormat="1" ht="12.75">
      <c r="A24" s="207">
        <f t="shared" si="8"/>
        <v>1.3</v>
      </c>
      <c r="B24" s="207">
        <f t="shared" si="0"/>
        <v>1.305701099494665</v>
      </c>
      <c r="C24" s="207">
        <f t="shared" si="1"/>
        <v>2.9899999999999998</v>
      </c>
      <c r="D24" s="207">
        <f t="shared" si="2"/>
        <v>4.676955262170047</v>
      </c>
      <c r="E24" s="207">
        <f t="shared" si="3"/>
        <v>3.6</v>
      </c>
      <c r="F24" s="207">
        <f t="shared" si="4"/>
        <v>0.6393048110134537</v>
      </c>
      <c r="G24" s="207">
        <f t="shared" si="5"/>
        <v>0.8305555555555555</v>
      </c>
      <c r="H24" s="208">
        <f t="shared" si="6"/>
        <v>0.33444816053511706</v>
      </c>
      <c r="I24" s="208">
        <f t="shared" si="7"/>
        <v>0.11235417375407429</v>
      </c>
      <c r="J24" s="121"/>
    </row>
    <row r="25" spans="1:10" s="209" customFormat="1" ht="12.75">
      <c r="A25" s="207">
        <f t="shared" si="8"/>
        <v>1.4000000000000001</v>
      </c>
      <c r="B25" s="207">
        <f t="shared" si="0"/>
        <v>1.404514632900391</v>
      </c>
      <c r="C25" s="207">
        <f t="shared" si="1"/>
        <v>3.3600000000000008</v>
      </c>
      <c r="D25" s="207">
        <f t="shared" si="2"/>
        <v>4.959797974644667</v>
      </c>
      <c r="E25" s="207">
        <f t="shared" si="3"/>
        <v>3.8000000000000003</v>
      </c>
      <c r="F25" s="207">
        <f t="shared" si="4"/>
        <v>0.6774469478750734</v>
      </c>
      <c r="G25" s="207">
        <f t="shared" si="5"/>
        <v>0.8842105263157896</v>
      </c>
      <c r="H25" s="208">
        <f t="shared" si="6"/>
        <v>0.29761904761904756</v>
      </c>
      <c r="I25" s="208">
        <f t="shared" si="7"/>
        <v>0.09677961381135165</v>
      </c>
      <c r="J25" s="121"/>
    </row>
    <row r="26" spans="1:10" s="209" customFormat="1" ht="12.75">
      <c r="A26" s="207">
        <f t="shared" si="8"/>
        <v>1.5000000000000002</v>
      </c>
      <c r="B26" s="207">
        <f t="shared" si="0"/>
        <v>1.5036244195265605</v>
      </c>
      <c r="C26" s="207">
        <f t="shared" si="1"/>
        <v>3.7500000000000004</v>
      </c>
      <c r="D26" s="207">
        <f t="shared" si="2"/>
        <v>5.242640687119286</v>
      </c>
      <c r="E26" s="207">
        <f t="shared" si="3"/>
        <v>4</v>
      </c>
      <c r="F26" s="207">
        <f t="shared" si="4"/>
        <v>0.7152883868645482</v>
      </c>
      <c r="G26" s="207">
        <f t="shared" si="5"/>
        <v>0.9375000000000001</v>
      </c>
      <c r="H26" s="208">
        <f t="shared" si="6"/>
        <v>0.2666666666666666</v>
      </c>
      <c r="I26" s="208">
        <f t="shared" si="7"/>
        <v>0.08411545233467978</v>
      </c>
      <c r="J26" s="121"/>
    </row>
    <row r="27" spans="1:10" s="209" customFormat="1" ht="12.75">
      <c r="A27" s="207">
        <f t="shared" si="8"/>
        <v>1.6000000000000003</v>
      </c>
      <c r="B27" s="207">
        <f t="shared" si="0"/>
        <v>1.6029451969069122</v>
      </c>
      <c r="C27" s="207">
        <f t="shared" si="1"/>
        <v>4.160000000000002</v>
      </c>
      <c r="D27" s="207">
        <f t="shared" si="2"/>
        <v>5.525483399593905</v>
      </c>
      <c r="E27" s="207">
        <f t="shared" si="3"/>
        <v>4.200000000000001</v>
      </c>
      <c r="F27" s="207">
        <f t="shared" si="4"/>
        <v>0.7528753050467477</v>
      </c>
      <c r="G27" s="207">
        <f t="shared" si="5"/>
        <v>0.9904761904761907</v>
      </c>
      <c r="H27" s="208">
        <f t="shared" si="6"/>
        <v>0.24038461538461528</v>
      </c>
      <c r="I27" s="208">
        <f t="shared" si="7"/>
        <v>0.07368852858738127</v>
      </c>
      <c r="J27" s="121"/>
    </row>
    <row r="28" spans="1:10" s="209" customFormat="1" ht="12.75">
      <c r="A28" s="207">
        <f t="shared" si="8"/>
        <v>1.7000000000000004</v>
      </c>
      <c r="B28" s="207">
        <f>A28+H28^2/2/9.81</f>
        <v>1.7024192214576663</v>
      </c>
      <c r="C28" s="207">
        <f>($B$7+$B$8*A28)*A28</f>
        <v>4.590000000000002</v>
      </c>
      <c r="D28" s="207">
        <f>(1+$B$8^2)^0.5*2*A28+$B$7</f>
        <v>5.808326112068524</v>
      </c>
      <c r="E28" s="207">
        <f>$B$7+2*$B$8*A28</f>
        <v>4.4</v>
      </c>
      <c r="F28" s="207">
        <f>C28/D28</f>
        <v>0.7902448849183781</v>
      </c>
      <c r="G28" s="207">
        <f>C28/E28</f>
        <v>1.0431818181818184</v>
      </c>
      <c r="H28" s="208">
        <f>$B$6/C28</f>
        <v>0.21786492374727662</v>
      </c>
      <c r="I28" s="208">
        <f>H28/(9.81*G28)^0.52</f>
        <v>0.06500881144577966</v>
      </c>
      <c r="J28" s="121"/>
    </row>
    <row r="29" spans="1:10" s="209" customFormat="1" ht="12.75">
      <c r="A29" s="207">
        <f>A28+$D$7</f>
        <v>1.8000000000000005</v>
      </c>
      <c r="B29" s="207">
        <f>A29+H29^2/2/9.81</f>
        <v>1.8020065035112853</v>
      </c>
      <c r="C29" s="207">
        <f>($B$7+$B$8*A29)*A29</f>
        <v>5.040000000000003</v>
      </c>
      <c r="D29" s="207">
        <f>(1+$B$8^2)^0.5*2*A29+$B$7</f>
        <v>6.091168824543144</v>
      </c>
      <c r="E29" s="207">
        <f>$B$7+2*$B$8*A29</f>
        <v>4.600000000000001</v>
      </c>
      <c r="F29" s="207">
        <f>C29/D29</f>
        <v>0.8274274027165908</v>
      </c>
      <c r="G29" s="207">
        <f>C29/E29</f>
        <v>1.0956521739130438</v>
      </c>
      <c r="H29" s="208">
        <f>$B$6/C29</f>
        <v>0.19841269841269832</v>
      </c>
      <c r="I29" s="208">
        <f>H29/(9.81*G29)^0.52</f>
        <v>0.05771275058473848</v>
      </c>
      <c r="J29" s="121"/>
    </row>
    <row r="30" spans="1:10" s="209" customFormat="1" ht="12.75">
      <c r="A30" s="207">
        <f>A29+$D$7</f>
        <v>1.9000000000000006</v>
      </c>
      <c r="B30" s="207">
        <f>A30+H30^2/2/9.81</f>
        <v>1.901678795510959</v>
      </c>
      <c r="C30" s="207">
        <f>($B$7+$B$8*A30)*A30</f>
        <v>5.5100000000000025</v>
      </c>
      <c r="D30" s="207">
        <f>(1+$B$8^2)^0.5*2*A30+$B$7</f>
        <v>6.374011537017763</v>
      </c>
      <c r="E30" s="207">
        <f>$B$7+2*$B$8*A30</f>
        <v>4.800000000000001</v>
      </c>
      <c r="F30" s="207">
        <f>C30/D30</f>
        <v>0.8644477607233813</v>
      </c>
      <c r="G30" s="207">
        <f>C30/E30</f>
        <v>1.147916666666667</v>
      </c>
      <c r="H30" s="208">
        <f>$B$6/C30</f>
        <v>0.18148820326678758</v>
      </c>
      <c r="I30" s="208">
        <f>H30/(9.81*G30)^0.52</f>
        <v>0.05152608306946449</v>
      </c>
      <c r="J30" s="121"/>
    </row>
    <row r="31" spans="1:10" s="209" customFormat="1" ht="12.75">
      <c r="A31" s="207">
        <f>A30+$D$7</f>
        <v>2.0000000000000004</v>
      </c>
      <c r="B31" s="207">
        <f>A31+H31^2/2/9.81</f>
        <v>2.001415788877563</v>
      </c>
      <c r="C31" s="207">
        <f>($B$7+$B$8*A31)*A31</f>
        <v>6.000000000000002</v>
      </c>
      <c r="D31" s="207">
        <f>(1+$B$8^2)^0.5*2*A31+$B$7</f>
        <v>6.6568542494923815</v>
      </c>
      <c r="E31" s="207">
        <f>$B$7+2*$B$8*A31</f>
        <v>5.000000000000001</v>
      </c>
      <c r="F31" s="207">
        <f>C31/D31</f>
        <v>0.9013266289340092</v>
      </c>
      <c r="G31" s="207">
        <f>C31/E31</f>
        <v>1.2000000000000002</v>
      </c>
      <c r="H31" s="208">
        <f>$B$6/C31</f>
        <v>0.16666666666666663</v>
      </c>
      <c r="I31" s="208">
        <f>H31/(9.81*G31)^0.52</f>
        <v>0.04623880672731878</v>
      </c>
      <c r="J31" s="121"/>
    </row>
    <row r="32" spans="1:10" s="209" customFormat="1" ht="12.75">
      <c r="A32" s="207">
        <f>A31+$D$7</f>
        <v>2.1000000000000005</v>
      </c>
      <c r="B32" s="207">
        <f>A32+H32^2/2/9.81</f>
        <v>2.101202649347035</v>
      </c>
      <c r="C32" s="207">
        <f>($B$7+$B$8*A32)*A32</f>
        <v>6.5100000000000025</v>
      </c>
      <c r="D32" s="207">
        <f>(1+$B$8^2)^0.5*2*A32+$B$7</f>
        <v>6.939696961967001</v>
      </c>
      <c r="E32" s="207">
        <f>$B$7+2*$B$8*A32</f>
        <v>5.200000000000001</v>
      </c>
      <c r="F32" s="207">
        <f>C32/D32</f>
        <v>0.9380813075380738</v>
      </c>
      <c r="G32" s="207">
        <f>C32/E32</f>
        <v>1.2519230769230771</v>
      </c>
      <c r="H32" s="208">
        <f>$B$6/C32</f>
        <v>0.15360983102918582</v>
      </c>
      <c r="I32" s="208">
        <f>H32/(9.81*G32)^0.52</f>
        <v>0.04168797044177416</v>
      </c>
      <c r="J32" s="121"/>
    </row>
    <row r="33" s="122" customFormat="1" ht="12.75">
      <c r="A33" s="200"/>
    </row>
    <row r="34" s="122" customFormat="1" ht="12.75">
      <c r="A34" s="200"/>
    </row>
    <row r="35" s="122" customFormat="1" ht="12.75">
      <c r="A35" s="200"/>
    </row>
    <row r="36" s="122" customFormat="1" ht="12.75">
      <c r="A36" s="200"/>
    </row>
    <row r="37" s="122" customFormat="1" ht="12.75">
      <c r="A37" s="200"/>
    </row>
    <row r="38" s="122" customFormat="1" ht="12.75">
      <c r="A38" s="200"/>
    </row>
    <row r="39" s="122" customFormat="1" ht="12.75">
      <c r="A39" s="200"/>
    </row>
    <row r="40" s="122" customFormat="1" ht="12.75">
      <c r="A40" s="200"/>
    </row>
    <row r="41" spans="1:5" s="122" customFormat="1" ht="12.75">
      <c r="A41" s="200"/>
      <c r="D41"/>
      <c r="E41"/>
    </row>
    <row r="42" spans="1:5" s="122" customFormat="1" ht="12.75">
      <c r="A42" s="200"/>
      <c r="D42"/>
      <c r="E42"/>
    </row>
    <row r="43" spans="1:5" s="122" customFormat="1" ht="12.75">
      <c r="A43" s="200"/>
      <c r="D43"/>
      <c r="E43"/>
    </row>
    <row r="44" spans="1:5" s="122" customFormat="1" ht="12.75">
      <c r="A44" s="200"/>
      <c r="D44"/>
      <c r="E44"/>
    </row>
    <row r="45" s="122" customFormat="1" ht="12.75">
      <c r="A45" s="200"/>
    </row>
    <row r="46" s="122" customFormat="1" ht="12.75">
      <c r="A46" s="200"/>
    </row>
    <row r="47" spans="1:3" s="122" customFormat="1" ht="12.75">
      <c r="A47"/>
      <c r="B47"/>
      <c r="C47"/>
    </row>
    <row r="48" spans="1:3" s="122" customFormat="1" ht="12.75">
      <c r="A48"/>
      <c r="B48"/>
      <c r="C48"/>
    </row>
    <row r="49" spans="1:2" s="122" customFormat="1" ht="12.75">
      <c r="A49"/>
      <c r="B49"/>
    </row>
    <row r="50" spans="1:2" s="122" customFormat="1" ht="12.75">
      <c r="A50"/>
      <c r="B50"/>
    </row>
    <row r="51" spans="1:2" s="122" customFormat="1" ht="12.75">
      <c r="A51"/>
      <c r="B51"/>
    </row>
    <row r="52" spans="1:2" s="122" customFormat="1" ht="12.75">
      <c r="A52"/>
      <c r="B52"/>
    </row>
    <row r="53" spans="1:2" s="122" customFormat="1" ht="12.75">
      <c r="A53"/>
      <c r="B53"/>
    </row>
    <row r="54" s="122" customFormat="1" ht="12.75"/>
    <row r="55" s="122" customFormat="1" ht="12.75"/>
    <row r="56" s="122" customFormat="1" ht="12.75"/>
    <row r="57" s="122" customFormat="1" ht="12.75"/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</sheetData>
  <printOptions/>
  <pageMargins left="0.75" right="0.75" top="1" bottom="1" header="0.4921259845" footer="0.492125984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J64"/>
  <sheetViews>
    <sheetView showGridLines="0" showRowColHeaders="0" zoomScale="101" zoomScaleNormal="101" workbookViewId="0" topLeftCell="A1">
      <selection activeCell="A54" sqref="A54"/>
    </sheetView>
  </sheetViews>
  <sheetFormatPr defaultColWidth="9.140625" defaultRowHeight="12.75"/>
  <cols>
    <col min="1" max="1" width="33.7109375" style="0" customWidth="1"/>
    <col min="2" max="2" width="41.421875" style="0" customWidth="1"/>
    <col min="3" max="16384" width="11.421875" style="0" customWidth="1"/>
  </cols>
  <sheetData>
    <row r="1" spans="1:10" ht="18">
      <c r="A1" s="225" t="s">
        <v>120</v>
      </c>
      <c r="B1" s="226"/>
      <c r="C1" s="227"/>
      <c r="D1" s="228"/>
      <c r="E1" s="229"/>
      <c r="F1" s="15"/>
      <c r="G1" s="15"/>
      <c r="H1" s="15"/>
      <c r="I1" s="15"/>
      <c r="J1" s="15"/>
    </row>
    <row r="2" spans="1:10" ht="13.5" thickBot="1">
      <c r="A2" s="230" t="s">
        <v>121</v>
      </c>
      <c r="B2" s="212"/>
      <c r="C2" s="12"/>
      <c r="D2" s="213"/>
      <c r="E2" s="231"/>
      <c r="F2" s="15"/>
      <c r="G2" s="15"/>
      <c r="H2" s="15"/>
      <c r="I2" s="15"/>
      <c r="J2" s="15"/>
    </row>
    <row r="3" spans="1:10" ht="13.5" thickTop="1">
      <c r="A3" s="232" t="s">
        <v>122</v>
      </c>
      <c r="B3" s="214"/>
      <c r="C3" s="215" t="s">
        <v>123</v>
      </c>
      <c r="D3" s="216" t="s">
        <v>124</v>
      </c>
      <c r="E3" s="233"/>
      <c r="F3" s="15"/>
      <c r="G3" s="15"/>
      <c r="H3" s="15"/>
      <c r="I3" s="15"/>
      <c r="J3" s="15"/>
    </row>
    <row r="4" spans="1:10" ht="12.75">
      <c r="A4" s="234"/>
      <c r="B4" s="217"/>
      <c r="C4" s="218" t="s">
        <v>125</v>
      </c>
      <c r="D4" s="219" t="s">
        <v>126</v>
      </c>
      <c r="E4" s="235"/>
      <c r="F4" s="15"/>
      <c r="G4" s="15"/>
      <c r="H4" s="286"/>
      <c r="I4" s="15"/>
      <c r="J4" s="15"/>
    </row>
    <row r="5" spans="1:10" ht="13.5" thickBot="1">
      <c r="A5" s="236" t="s">
        <v>127</v>
      </c>
      <c r="B5" s="268" t="s">
        <v>136</v>
      </c>
      <c r="C5" s="253">
        <v>375</v>
      </c>
      <c r="D5" s="254">
        <v>205</v>
      </c>
      <c r="E5" s="235"/>
      <c r="F5" s="15"/>
      <c r="G5" s="15"/>
      <c r="H5" s="15"/>
      <c r="I5" s="15"/>
      <c r="J5" s="15"/>
    </row>
    <row r="6" spans="1:10" ht="12.75">
      <c r="A6" s="237" t="s">
        <v>129</v>
      </c>
      <c r="B6" s="268">
        <f>G41</f>
        <v>24</v>
      </c>
      <c r="C6" s="220"/>
      <c r="D6" s="155"/>
      <c r="E6" s="235"/>
      <c r="F6" s="15"/>
      <c r="G6" s="15"/>
      <c r="H6" s="15"/>
      <c r="I6" s="15"/>
      <c r="J6" s="15"/>
    </row>
    <row r="7" spans="1:10" ht="12.75">
      <c r="A7" s="238"/>
      <c r="B7" s="221"/>
      <c r="C7" s="4"/>
      <c r="D7" s="5"/>
      <c r="E7" s="235"/>
      <c r="F7" s="15"/>
      <c r="G7" s="15"/>
      <c r="H7" s="15"/>
      <c r="I7" s="15"/>
      <c r="J7" s="15"/>
    </row>
    <row r="8" spans="1:10" ht="13.5" thickBot="1">
      <c r="A8" s="267"/>
      <c r="B8" s="287"/>
      <c r="C8" s="5"/>
      <c r="D8" s="5"/>
      <c r="E8" s="235"/>
      <c r="F8" s="15"/>
      <c r="G8" s="15"/>
      <c r="H8" s="15"/>
      <c r="I8" s="15"/>
      <c r="J8" s="15"/>
    </row>
    <row r="9" spans="1:10" ht="12.75">
      <c r="A9" s="239"/>
      <c r="B9" s="269"/>
      <c r="C9" s="270" t="s">
        <v>130</v>
      </c>
      <c r="D9" s="222"/>
      <c r="E9" s="240"/>
      <c r="F9" s="15"/>
      <c r="G9" s="15"/>
      <c r="H9" s="15"/>
      <c r="I9" s="15"/>
      <c r="J9" s="15"/>
    </row>
    <row r="10" spans="1:10" ht="13.5" thickBot="1">
      <c r="A10" s="237" t="s">
        <v>131</v>
      </c>
      <c r="B10" s="272" t="str">
        <f>B64</f>
        <v>Diamètre du réducteur?</v>
      </c>
      <c r="C10" s="271"/>
      <c r="D10" s="223"/>
      <c r="E10" s="241"/>
      <c r="F10" s="15"/>
      <c r="G10" s="15"/>
      <c r="H10" s="15"/>
      <c r="I10" s="15"/>
      <c r="J10" s="15"/>
    </row>
    <row r="11" spans="1:10" ht="13.5" thickBot="1">
      <c r="A11" s="242" t="s">
        <v>132</v>
      </c>
      <c r="B11" s="273" t="str">
        <f>IF(B6=0,"Aucune capacité portante",IF($A$59="E",$B$10,B10/B6))</f>
        <v>Diamètre du réducteur?</v>
      </c>
      <c r="C11" s="4"/>
      <c r="D11" s="5"/>
      <c r="E11" s="235"/>
      <c r="F11" s="15"/>
      <c r="G11" s="15"/>
      <c r="H11" s="15"/>
      <c r="I11" s="15"/>
      <c r="J11" s="15"/>
    </row>
    <row r="12" spans="1:10" ht="8.25" customHeight="1" thickTop="1">
      <c r="A12" s="243"/>
      <c r="B12" s="2"/>
      <c r="C12" s="2"/>
      <c r="D12" s="2"/>
      <c r="E12" s="233"/>
      <c r="F12" s="15"/>
      <c r="G12" s="15"/>
      <c r="H12" s="15"/>
      <c r="I12" s="15"/>
      <c r="J12" s="15"/>
    </row>
    <row r="13" spans="1:10" ht="12.75">
      <c r="A13" s="244"/>
      <c r="B13" s="5"/>
      <c r="C13" s="5"/>
      <c r="D13" s="5"/>
      <c r="E13" s="235"/>
      <c r="F13" s="15"/>
      <c r="G13" s="15"/>
      <c r="H13" s="15"/>
      <c r="I13" s="15"/>
      <c r="J13" s="15"/>
    </row>
    <row r="14" spans="1:10" ht="12.75">
      <c r="A14" s="244"/>
      <c r="B14" s="5"/>
      <c r="C14" s="5"/>
      <c r="D14" s="5"/>
      <c r="E14" s="235"/>
      <c r="F14" s="15"/>
      <c r="G14" s="15"/>
      <c r="H14" s="15"/>
      <c r="I14" s="15"/>
      <c r="J14" s="15"/>
    </row>
    <row r="15" spans="1:10" ht="12.75">
      <c r="A15" s="244"/>
      <c r="B15" s="5"/>
      <c r="C15" s="5"/>
      <c r="D15" s="5"/>
      <c r="E15" s="235"/>
      <c r="F15" s="15"/>
      <c r="G15" s="15"/>
      <c r="H15" s="15"/>
      <c r="I15" s="15"/>
      <c r="J15" s="15"/>
    </row>
    <row r="16" spans="1:10" ht="12.75">
      <c r="A16" s="244"/>
      <c r="B16" s="5"/>
      <c r="C16" s="5"/>
      <c r="D16" s="5"/>
      <c r="E16" s="235"/>
      <c r="F16" s="15"/>
      <c r="G16" s="15"/>
      <c r="H16" s="15"/>
      <c r="I16" s="15"/>
      <c r="J16" s="15"/>
    </row>
    <row r="17" spans="1:10" ht="12.75">
      <c r="A17" s="244"/>
      <c r="B17" s="5"/>
      <c r="C17" s="224"/>
      <c r="D17" s="224"/>
      <c r="E17" s="235"/>
      <c r="F17" s="15"/>
      <c r="G17" s="15"/>
      <c r="H17" s="15"/>
      <c r="I17" s="15"/>
      <c r="J17" s="15"/>
    </row>
    <row r="18" spans="1:10" ht="12.75">
      <c r="A18" s="244"/>
      <c r="B18" s="5"/>
      <c r="C18" s="5"/>
      <c r="D18" s="155"/>
      <c r="E18" s="235"/>
      <c r="F18" s="15"/>
      <c r="G18" s="15"/>
      <c r="H18" s="15"/>
      <c r="I18" s="15"/>
      <c r="J18" s="15"/>
    </row>
    <row r="19" spans="1:10" ht="12.75">
      <c r="A19" s="244"/>
      <c r="B19" s="5"/>
      <c r="C19" s="5"/>
      <c r="D19" s="155"/>
      <c r="E19" s="235"/>
      <c r="F19" s="15"/>
      <c r="G19" s="15"/>
      <c r="H19" s="15"/>
      <c r="I19" s="15"/>
      <c r="J19" s="15"/>
    </row>
    <row r="20" spans="1:10" ht="13.5" thickBot="1">
      <c r="A20" s="245"/>
      <c r="B20" s="13"/>
      <c r="C20" s="5"/>
      <c r="D20" s="155"/>
      <c r="E20" s="246"/>
      <c r="F20" s="15"/>
      <c r="G20" s="15"/>
      <c r="H20" s="15"/>
      <c r="I20" s="15"/>
      <c r="J20" s="15"/>
    </row>
    <row r="21" spans="1:10" ht="13.5" thickTop="1">
      <c r="A21" s="247" t="s">
        <v>93</v>
      </c>
      <c r="B21" s="39" t="s">
        <v>2</v>
      </c>
      <c r="C21" s="1"/>
      <c r="D21" s="2"/>
      <c r="E21" s="233"/>
      <c r="F21" s="15"/>
      <c r="G21" s="15"/>
      <c r="H21" s="15"/>
      <c r="I21" s="15"/>
      <c r="J21" s="15"/>
    </row>
    <row r="22" spans="1:10" ht="12.75">
      <c r="A22" s="248" t="s">
        <v>94</v>
      </c>
      <c r="B22" s="8" t="s">
        <v>52</v>
      </c>
      <c r="C22" s="4"/>
      <c r="D22" s="5"/>
      <c r="E22" s="235"/>
      <c r="F22" s="15"/>
      <c r="G22" s="15"/>
      <c r="H22" s="15"/>
      <c r="I22" s="15"/>
      <c r="J22" s="15"/>
    </row>
    <row r="23" spans="1:10" ht="13.5" thickBot="1">
      <c r="A23" s="249" t="s">
        <v>95</v>
      </c>
      <c r="B23" s="250" t="s">
        <v>6</v>
      </c>
      <c r="C23" s="251"/>
      <c r="D23" s="77"/>
      <c r="E23" s="252"/>
      <c r="F23" s="15"/>
      <c r="G23" s="15"/>
      <c r="H23" s="15"/>
      <c r="I23" s="15"/>
      <c r="J23" s="15"/>
    </row>
    <row r="24" spans="1:10" s="122" customFormat="1" ht="12.75">
      <c r="A24" s="244"/>
      <c r="B24" s="5"/>
      <c r="C24" s="5"/>
      <c r="D24" s="5"/>
      <c r="E24" s="235"/>
      <c r="F24" s="121"/>
      <c r="G24" s="121"/>
      <c r="H24" s="121"/>
      <c r="I24" s="121"/>
      <c r="J24" s="121"/>
    </row>
    <row r="25" spans="1:10" s="122" customFormat="1" ht="12.75">
      <c r="A25" s="244"/>
      <c r="B25" s="5"/>
      <c r="C25" s="5"/>
      <c r="D25" s="5"/>
      <c r="E25" s="235"/>
      <c r="F25" s="121"/>
      <c r="G25" s="121"/>
      <c r="H25" s="121"/>
      <c r="I25" s="121"/>
      <c r="J25" s="121"/>
    </row>
    <row r="26" spans="1:10" s="122" customFormat="1" ht="12.75">
      <c r="A26" s="244"/>
      <c r="B26" s="5"/>
      <c r="C26" s="5"/>
      <c r="D26" s="5"/>
      <c r="E26" s="235"/>
      <c r="F26" s="121"/>
      <c r="G26" s="121"/>
      <c r="H26" s="121"/>
      <c r="I26" s="121"/>
      <c r="J26" s="121"/>
    </row>
    <row r="27" spans="1:10" s="122" customFormat="1" ht="12.75">
      <c r="A27" s="244"/>
      <c r="B27" s="5"/>
      <c r="C27" s="5"/>
      <c r="D27" s="5"/>
      <c r="E27" s="235"/>
      <c r="F27" s="121"/>
      <c r="G27" s="121"/>
      <c r="H27" s="121"/>
      <c r="I27" s="121"/>
      <c r="J27" s="121"/>
    </row>
    <row r="28" spans="1:10" s="122" customFormat="1" ht="12.75">
      <c r="A28" s="244"/>
      <c r="B28" s="5"/>
      <c r="C28" s="5"/>
      <c r="D28" s="5"/>
      <c r="E28" s="235"/>
      <c r="F28" s="121"/>
      <c r="G28" s="121"/>
      <c r="H28" s="121"/>
      <c r="I28" s="121"/>
      <c r="J28" s="121"/>
    </row>
    <row r="29" spans="1:10" s="122" customFormat="1" ht="12.75">
      <c r="A29" s="244"/>
      <c r="B29" s="5"/>
      <c r="C29" s="5"/>
      <c r="D29" s="5"/>
      <c r="E29" s="235"/>
      <c r="F29" s="121"/>
      <c r="G29" s="121"/>
      <c r="H29" s="121"/>
      <c r="I29" s="121"/>
      <c r="J29" s="121"/>
    </row>
    <row r="30" spans="1:10" s="122" customFormat="1" ht="12.75">
      <c r="A30" s="244"/>
      <c r="B30" s="5"/>
      <c r="C30" s="5"/>
      <c r="D30" s="5"/>
      <c r="E30" s="235"/>
      <c r="F30" s="121"/>
      <c r="G30" s="121"/>
      <c r="H30" s="121"/>
      <c r="I30" s="121"/>
      <c r="J30" s="121"/>
    </row>
    <row r="31" spans="1:10" s="122" customFormat="1" ht="12.75">
      <c r="A31" s="244"/>
      <c r="B31" s="5"/>
      <c r="C31" s="5"/>
      <c r="D31" s="5"/>
      <c r="E31" s="235"/>
      <c r="F31" s="121"/>
      <c r="G31" s="121"/>
      <c r="H31" s="121"/>
      <c r="I31" s="121"/>
      <c r="J31" s="121"/>
    </row>
    <row r="32" spans="1:10" s="122" customFormat="1" ht="12.75">
      <c r="A32" s="244"/>
      <c r="B32" s="5"/>
      <c r="C32" s="5"/>
      <c r="D32" s="5"/>
      <c r="E32" s="235"/>
      <c r="F32" s="121"/>
      <c r="G32" s="121"/>
      <c r="H32" s="121"/>
      <c r="I32" s="121"/>
      <c r="J32" s="121"/>
    </row>
    <row r="33" spans="1:10" s="122" customFormat="1" ht="12.75">
      <c r="A33" s="244"/>
      <c r="B33" s="5"/>
      <c r="C33" s="5" t="s">
        <v>0</v>
      </c>
      <c r="D33" s="5"/>
      <c r="E33" s="235"/>
      <c r="F33" s="121"/>
      <c r="G33" s="121"/>
      <c r="H33" s="121"/>
      <c r="I33" s="121"/>
      <c r="J33" s="121"/>
    </row>
    <row r="34" spans="1:10" s="122" customFormat="1" ht="12.75">
      <c r="A34" s="244"/>
      <c r="B34" s="5" t="s">
        <v>0</v>
      </c>
      <c r="C34" s="5"/>
      <c r="D34" s="5"/>
      <c r="E34" s="235"/>
      <c r="F34" s="121"/>
      <c r="G34" s="121"/>
      <c r="H34" s="121"/>
      <c r="I34" s="121"/>
      <c r="J34" s="121"/>
    </row>
    <row r="35" spans="1:10" s="122" customFormat="1" ht="10.5" customHeight="1">
      <c r="A35" s="244"/>
      <c r="B35" s="5"/>
      <c r="C35" s="5"/>
      <c r="D35" s="5"/>
      <c r="E35" s="235"/>
      <c r="F35" s="121"/>
      <c r="G35" s="121"/>
      <c r="H35" s="121"/>
      <c r="I35" s="121"/>
      <c r="J35" s="121"/>
    </row>
    <row r="36" spans="1:10" s="122" customFormat="1" ht="12.75">
      <c r="A36" s="244"/>
      <c r="B36" s="5"/>
      <c r="C36" s="5"/>
      <c r="D36" s="5"/>
      <c r="E36" s="235"/>
      <c r="F36" s="121"/>
      <c r="G36" s="121"/>
      <c r="H36" s="121"/>
      <c r="I36" s="121"/>
      <c r="J36" s="121"/>
    </row>
    <row r="37" spans="1:10" s="122" customFormat="1" ht="12.75">
      <c r="A37" s="244"/>
      <c r="B37" s="5"/>
      <c r="C37" s="5"/>
      <c r="D37" s="5"/>
      <c r="E37" s="235"/>
      <c r="F37" s="121"/>
      <c r="G37" s="121"/>
      <c r="H37" s="121"/>
      <c r="I37" s="121"/>
      <c r="J37" s="121"/>
    </row>
    <row r="38" spans="1:10" s="122" customFormat="1" ht="12.75">
      <c r="A38" s="244"/>
      <c r="B38" s="5"/>
      <c r="C38" s="5"/>
      <c r="D38" s="5"/>
      <c r="E38" s="235"/>
      <c r="F38" s="121"/>
      <c r="G38" s="121"/>
      <c r="H38" s="121"/>
      <c r="I38" s="121"/>
      <c r="J38" s="121"/>
    </row>
    <row r="39" spans="1:10" s="122" customFormat="1" ht="12.75">
      <c r="A39" s="244"/>
      <c r="B39" s="5"/>
      <c r="C39" s="5"/>
      <c r="D39" s="5"/>
      <c r="E39" s="235"/>
      <c r="F39" s="121"/>
      <c r="G39" s="121"/>
      <c r="H39" s="121"/>
      <c r="I39" s="121"/>
      <c r="J39" s="121"/>
    </row>
    <row r="40" spans="1:7" s="122" customFormat="1" ht="12.75">
      <c r="A40" s="255" t="s">
        <v>124</v>
      </c>
      <c r="B40" s="255"/>
      <c r="C40" s="255" t="s">
        <v>133</v>
      </c>
      <c r="D40" s="255" t="s">
        <v>134</v>
      </c>
      <c r="E40" s="255"/>
      <c r="F40" s="255"/>
      <c r="G40" s="255"/>
    </row>
    <row r="41" spans="1:7" s="122" customFormat="1" ht="12.75">
      <c r="A41" s="255">
        <v>100</v>
      </c>
      <c r="B41" s="255">
        <v>1</v>
      </c>
      <c r="C41" s="255">
        <v>0</v>
      </c>
      <c r="D41" s="256" t="s">
        <v>135</v>
      </c>
      <c r="E41" s="255"/>
      <c r="F41" s="255">
        <v>2</v>
      </c>
      <c r="G41" s="255">
        <f>VLOOKUP(F41,B41:D47,2,0)</f>
        <v>24</v>
      </c>
    </row>
    <row r="42" spans="1:7" s="122" customFormat="1" ht="12.75">
      <c r="A42" s="255">
        <v>150</v>
      </c>
      <c r="B42" s="255">
        <v>2</v>
      </c>
      <c r="C42" s="255">
        <v>24</v>
      </c>
      <c r="D42" s="255" t="s">
        <v>136</v>
      </c>
      <c r="E42" s="255"/>
      <c r="F42" s="255"/>
      <c r="G42" s="255"/>
    </row>
    <row r="43" spans="1:7" s="122" customFormat="1" ht="12.75">
      <c r="A43" s="255">
        <v>200</v>
      </c>
      <c r="B43" s="255">
        <v>3</v>
      </c>
      <c r="C43" s="255">
        <v>48</v>
      </c>
      <c r="D43" s="255" t="s">
        <v>128</v>
      </c>
      <c r="E43" s="255"/>
      <c r="F43" s="255"/>
      <c r="G43" s="255"/>
    </row>
    <row r="44" spans="1:7" s="122" customFormat="1" ht="12.75">
      <c r="A44" s="255">
        <v>250</v>
      </c>
      <c r="B44" s="255">
        <v>4</v>
      </c>
      <c r="C44" s="255">
        <v>72</v>
      </c>
      <c r="D44" s="255" t="s">
        <v>137</v>
      </c>
      <c r="E44" s="255"/>
      <c r="F44" s="255"/>
      <c r="G44" s="255"/>
    </row>
    <row r="45" spans="1:7" s="122" customFormat="1" ht="12.75">
      <c r="A45" s="255">
        <v>300</v>
      </c>
      <c r="B45" s="255">
        <v>5</v>
      </c>
      <c r="C45" s="255">
        <v>96</v>
      </c>
      <c r="D45" s="255" t="s">
        <v>138</v>
      </c>
      <c r="E45" s="255"/>
      <c r="F45" s="255"/>
      <c r="G45" s="255"/>
    </row>
    <row r="46" spans="1:7" s="122" customFormat="1" ht="12.75">
      <c r="A46" s="255">
        <v>350</v>
      </c>
      <c r="B46" s="255">
        <v>6</v>
      </c>
      <c r="C46" s="255">
        <v>192</v>
      </c>
      <c r="D46" s="255" t="s">
        <v>139</v>
      </c>
      <c r="E46" s="255"/>
      <c r="F46" s="255"/>
      <c r="G46" s="255"/>
    </row>
    <row r="47" spans="1:7" s="122" customFormat="1" ht="12.75">
      <c r="A47" s="255">
        <v>400</v>
      </c>
      <c r="B47" s="255">
        <v>7</v>
      </c>
      <c r="C47" s="255">
        <v>240</v>
      </c>
      <c r="D47" s="255" t="s">
        <v>140</v>
      </c>
      <c r="E47" s="255"/>
      <c r="F47" s="255"/>
      <c r="G47" s="255"/>
    </row>
    <row r="48" s="122" customFormat="1" ht="12.75">
      <c r="A48" s="255">
        <v>450</v>
      </c>
    </row>
    <row r="49" s="122" customFormat="1" ht="12.75">
      <c r="A49" s="255">
        <v>500</v>
      </c>
    </row>
    <row r="50" s="122" customFormat="1" ht="12.75">
      <c r="A50" s="255">
        <v>600</v>
      </c>
    </row>
    <row r="51" s="122" customFormat="1" ht="12.75">
      <c r="A51" s="255">
        <v>750</v>
      </c>
    </row>
    <row r="52" s="122" customFormat="1" ht="12.75">
      <c r="A52" s="255">
        <v>900</v>
      </c>
    </row>
    <row r="53" s="122" customFormat="1" ht="12.75">
      <c r="A53" s="255">
        <v>1050</v>
      </c>
    </row>
    <row r="54" s="122" customFormat="1" ht="12.75">
      <c r="A54" s="255">
        <v>1200</v>
      </c>
    </row>
    <row r="55" s="122" customFormat="1" ht="12.75"/>
    <row r="56" s="122" customFormat="1" ht="13.5" thickBot="1"/>
    <row r="57" spans="1:3" s="122" customFormat="1" ht="13.5" thickBot="1">
      <c r="A57" s="257" t="s">
        <v>141</v>
      </c>
      <c r="B57" s="258" t="s">
        <v>142</v>
      </c>
      <c r="C57" s="257" t="s">
        <v>143</v>
      </c>
    </row>
    <row r="58" spans="1:3" s="122" customFormat="1" ht="12.75">
      <c r="A58" s="259" t="e">
        <f>2*A64*C5*SIN(A59*PI()/180/2)</f>
        <v>#VALUE!</v>
      </c>
      <c r="B58" s="260">
        <f>C5*A64</f>
        <v>12.377384181291658</v>
      </c>
      <c r="C58" s="259">
        <f>C5*(ABS(A64-(PI()*(C59/1000)^2/4)))</f>
        <v>0</v>
      </c>
    </row>
    <row r="59" spans="1:3" s="122" customFormat="1" ht="13.5" thickBot="1">
      <c r="A59" s="261" t="s">
        <v>13</v>
      </c>
      <c r="B59" s="262" t="s">
        <v>144</v>
      </c>
      <c r="C59" s="261">
        <v>205</v>
      </c>
    </row>
    <row r="60" spans="1:3" s="122" customFormat="1" ht="12.75">
      <c r="A60" s="263" t="s">
        <v>144</v>
      </c>
      <c r="C60" s="263" t="s">
        <v>144</v>
      </c>
    </row>
    <row r="61" spans="1:3" s="122" customFormat="1" ht="12.75">
      <c r="A61" s="263" t="s">
        <v>145</v>
      </c>
      <c r="C61" s="263" t="s">
        <v>124</v>
      </c>
    </row>
    <row r="62" s="122" customFormat="1" ht="13.5" thickBot="1"/>
    <row r="63" spans="1:2" s="122" customFormat="1" ht="12.75">
      <c r="A63" s="264" t="s">
        <v>146</v>
      </c>
      <c r="B63" s="264" t="s">
        <v>147</v>
      </c>
    </row>
    <row r="64" spans="1:2" s="122" customFormat="1" ht="13.5" thickBot="1">
      <c r="A64" s="265">
        <f>(PI()*(D5/1000)^2)/4</f>
        <v>0.03300635781677776</v>
      </c>
      <c r="B64" s="266" t="str">
        <f>IF($A$59="-",$B$58,IF($A$59="--",$C$58,IF($A$59="E","Diamètre du réducteur?",$A$58)))</f>
        <v>Diamètre du réducteur?</v>
      </c>
    </row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</sheetData>
  <sheetProtection password="CA8D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21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2.00390625" style="0" customWidth="1"/>
    <col min="2" max="16384" width="11.421875" style="0" customWidth="1"/>
  </cols>
  <sheetData>
    <row r="1" spans="1:9" ht="18.75" thickTop="1">
      <c r="A1" s="87" t="s">
        <v>152</v>
      </c>
      <c r="B1" s="88"/>
      <c r="C1" s="17" t="s">
        <v>0</v>
      </c>
      <c r="D1" s="22"/>
      <c r="E1" s="325" t="s">
        <v>156</v>
      </c>
      <c r="F1" s="2"/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29" t="s">
        <v>24</v>
      </c>
      <c r="B3" s="50">
        <v>0.00036</v>
      </c>
      <c r="C3" s="31" t="s">
        <v>25</v>
      </c>
      <c r="D3" s="2"/>
      <c r="E3" s="20" t="s">
        <v>0</v>
      </c>
      <c r="F3" s="15"/>
      <c r="G3" s="38"/>
      <c r="H3" s="38"/>
      <c r="I3" s="3"/>
    </row>
    <row r="4" spans="1:9" ht="12.75">
      <c r="A4" s="30" t="s">
        <v>9</v>
      </c>
      <c r="B4" s="61">
        <v>9</v>
      </c>
      <c r="C4" s="6" t="s">
        <v>26</v>
      </c>
      <c r="D4" s="6" t="s">
        <v>27</v>
      </c>
      <c r="E4" s="84">
        <f>(B4+B5*B8)*B8</f>
        <v>119.76996200000002</v>
      </c>
      <c r="F4" s="15"/>
      <c r="G4" s="38"/>
      <c r="H4" s="38"/>
      <c r="I4" s="7"/>
    </row>
    <row r="5" spans="1:9" ht="12.75">
      <c r="A5" s="30" t="s">
        <v>11</v>
      </c>
      <c r="B5" s="51">
        <v>2</v>
      </c>
      <c r="C5" s="6" t="s">
        <v>29</v>
      </c>
      <c r="D5" s="6" t="s">
        <v>30</v>
      </c>
      <c r="E5" s="84">
        <f>(1+B5^2)^0.5*2*B8+B4</f>
        <v>34.978637762592555</v>
      </c>
      <c r="F5" s="15"/>
      <c r="G5" s="38"/>
      <c r="H5" s="38"/>
      <c r="I5" s="7"/>
    </row>
    <row r="6" spans="1:9" ht="12.75">
      <c r="A6" s="30" t="s">
        <v>31</v>
      </c>
      <c r="B6" s="51">
        <v>0.025</v>
      </c>
      <c r="C6" s="6" t="s">
        <v>32</v>
      </c>
      <c r="D6" s="6" t="s">
        <v>33</v>
      </c>
      <c r="E6" s="84">
        <f>B4+2*B5*B8</f>
        <v>32.236000000000004</v>
      </c>
      <c r="F6" s="15"/>
      <c r="G6" s="15"/>
      <c r="H6" s="59"/>
      <c r="I6" s="7"/>
    </row>
    <row r="7" spans="1:9" ht="12.75">
      <c r="A7" s="30" t="s">
        <v>0</v>
      </c>
      <c r="B7" s="34"/>
      <c r="C7" s="6" t="s">
        <v>26</v>
      </c>
      <c r="D7" s="6" t="s">
        <v>34</v>
      </c>
      <c r="E7" s="84">
        <f>E4/E5</f>
        <v>3.4240888056563037</v>
      </c>
      <c r="F7" s="15"/>
      <c r="G7" s="165"/>
      <c r="H7" s="5"/>
      <c r="I7" s="7" t="s">
        <v>0</v>
      </c>
    </row>
    <row r="8" spans="1:9" ht="12.75">
      <c r="A8" s="30" t="s">
        <v>35</v>
      </c>
      <c r="B8" s="44">
        <v>5.809</v>
      </c>
      <c r="C8" s="6" t="s">
        <v>36</v>
      </c>
      <c r="D8" s="6" t="s">
        <v>37</v>
      </c>
      <c r="E8" s="84">
        <f>E4/E6</f>
        <v>3.7154101625511853</v>
      </c>
      <c r="F8" s="15"/>
      <c r="G8" s="15"/>
      <c r="H8" s="5"/>
      <c r="I8" s="7"/>
    </row>
    <row r="9" spans="1:9" ht="12.75">
      <c r="A9" s="4"/>
      <c r="B9" s="5"/>
      <c r="C9" s="6" t="s">
        <v>17</v>
      </c>
      <c r="D9" s="5"/>
      <c r="E9" s="5"/>
      <c r="F9" s="15"/>
      <c r="G9" s="5"/>
      <c r="H9" s="5"/>
      <c r="I9" s="7"/>
    </row>
    <row r="10" spans="1:9" ht="12.75">
      <c r="A10" s="30" t="s">
        <v>38</v>
      </c>
      <c r="B10" s="44">
        <f>9810*E7*B3</f>
        <v>12.092512026055802</v>
      </c>
      <c r="C10" s="6" t="s">
        <v>39</v>
      </c>
      <c r="D10" s="5"/>
      <c r="E10" s="5"/>
      <c r="F10" s="15"/>
      <c r="G10" s="5"/>
      <c r="H10" s="5"/>
      <c r="I10" s="7"/>
    </row>
    <row r="11" spans="1:9" ht="12.75">
      <c r="A11" s="4"/>
      <c r="B11" s="5"/>
      <c r="C11" s="6" t="s">
        <v>13</v>
      </c>
      <c r="D11" s="5"/>
      <c r="E11" s="5"/>
      <c r="F11" s="15"/>
      <c r="G11" s="5"/>
      <c r="H11" s="5"/>
      <c r="I11" s="7"/>
    </row>
    <row r="12" spans="1:9" ht="12.75">
      <c r="A12" s="9" t="s">
        <v>40</v>
      </c>
      <c r="B12" s="10"/>
      <c r="C12" s="5"/>
      <c r="D12" s="11" t="s">
        <v>41</v>
      </c>
      <c r="E12" s="11"/>
      <c r="F12" s="5"/>
      <c r="G12" s="10" t="s">
        <v>42</v>
      </c>
      <c r="H12" s="41"/>
      <c r="I12" s="7"/>
    </row>
    <row r="13" spans="1:9" ht="12.75">
      <c r="A13" s="4"/>
      <c r="B13" s="5"/>
      <c r="C13" s="5"/>
      <c r="D13" s="5"/>
      <c r="E13" s="5"/>
      <c r="F13" s="5"/>
      <c r="G13" s="5"/>
      <c r="H13" s="5" t="s">
        <v>0</v>
      </c>
      <c r="I13" s="7"/>
    </row>
    <row r="14" spans="1:9" ht="12.75">
      <c r="A14" s="30" t="s">
        <v>43</v>
      </c>
      <c r="B14" s="323">
        <f>E4*E7^(2/3)*B3^0.5/B6</f>
        <v>206.50116210062166</v>
      </c>
      <c r="C14" s="5"/>
      <c r="D14" s="34" t="s">
        <v>44</v>
      </c>
      <c r="E14" s="323">
        <f>(9.806*E4^3/E6)^0.5</f>
        <v>722.9316499083416</v>
      </c>
      <c r="F14" s="5"/>
      <c r="G14" s="34" t="s">
        <v>45</v>
      </c>
      <c r="H14" s="61">
        <v>300</v>
      </c>
      <c r="I14" s="7"/>
    </row>
    <row r="15" spans="1:9" ht="12.75">
      <c r="A15" s="30"/>
      <c r="B15" s="45"/>
      <c r="C15" s="5"/>
      <c r="D15" s="34" t="s">
        <v>46</v>
      </c>
      <c r="E15" s="49">
        <f>B6^2*9.806*E8/E7^(4/3)</f>
        <v>0.004412167363195104</v>
      </c>
      <c r="F15" s="5"/>
      <c r="G15" s="34"/>
      <c r="H15" s="62"/>
      <c r="I15" s="63"/>
    </row>
    <row r="16" spans="1:9" ht="12.75">
      <c r="A16" s="30" t="s">
        <v>47</v>
      </c>
      <c r="B16" s="44">
        <f>B14/E4</f>
        <v>1.7241481808320323</v>
      </c>
      <c r="C16" s="5"/>
      <c r="D16" s="34" t="s">
        <v>48</v>
      </c>
      <c r="E16" s="44">
        <f>E14/E4</f>
        <v>6.03600132985215</v>
      </c>
      <c r="F16" s="5"/>
      <c r="G16" s="34" t="s">
        <v>49</v>
      </c>
      <c r="H16" s="44">
        <f>H14/E4</f>
        <v>2.5048016630413557</v>
      </c>
      <c r="I16" s="7"/>
    </row>
    <row r="17" spans="1:9" ht="12.75">
      <c r="A17" s="30" t="s">
        <v>50</v>
      </c>
      <c r="B17" s="44">
        <f>B8+B16^2/2/9.806</f>
        <v>5.960574900543872</v>
      </c>
      <c r="C17" s="5"/>
      <c r="D17" s="34" t="s">
        <v>50</v>
      </c>
      <c r="E17" s="44">
        <f>B8+E16^2/2/9.806</f>
        <v>7.666705081275593</v>
      </c>
      <c r="F17" s="5"/>
      <c r="G17" s="34" t="s">
        <v>50</v>
      </c>
      <c r="H17" s="44">
        <f>B8+H16^2/2/9.806</f>
        <v>6.128907779480662</v>
      </c>
      <c r="I17" s="7"/>
    </row>
    <row r="18" spans="1:9" ht="13.5" thickBot="1">
      <c r="A18" s="33" t="s">
        <v>51</v>
      </c>
      <c r="B18" s="46">
        <f>B14/E4/(9.806*E8)^0.5</f>
        <v>0.2856441022146469</v>
      </c>
      <c r="C18" s="13"/>
      <c r="D18" s="35" t="s">
        <v>51</v>
      </c>
      <c r="E18" s="46">
        <f>E14/E4/(9.806*E8)^0.5</f>
        <v>1</v>
      </c>
      <c r="F18" s="13"/>
      <c r="G18" s="35" t="s">
        <v>51</v>
      </c>
      <c r="H18" s="46">
        <f>H14/E4/(9.806*E8)^0.5</f>
        <v>0.41497698992433957</v>
      </c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4"/>
      <c r="G20" s="5"/>
      <c r="H20" s="5"/>
      <c r="I20" s="7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12"/>
      <c r="G21" s="13"/>
      <c r="H21" s="13"/>
      <c r="I21" s="14"/>
    </row>
    <row r="22" ht="13.5" thickTop="1"/>
  </sheetData>
  <printOptions/>
  <pageMargins left="0.75" right="0.75" top="1" bottom="1" header="0.4921259845" footer="0.492125984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60"/>
  <sheetViews>
    <sheetView showGridLines="0" workbookViewId="0" topLeftCell="A1">
      <selection activeCell="H11" sqref="H11"/>
    </sheetView>
  </sheetViews>
  <sheetFormatPr defaultColWidth="9.140625" defaultRowHeight="12.75"/>
  <cols>
    <col min="1" max="2" width="11.421875" style="276" customWidth="1"/>
    <col min="3" max="3" width="9.7109375" style="276" customWidth="1"/>
    <col min="4" max="4" width="10.421875" style="285" customWidth="1"/>
    <col min="5" max="5" width="10.57421875" style="276" customWidth="1"/>
    <col min="6" max="6" width="9.8515625" style="276" customWidth="1"/>
    <col min="7" max="7" width="9.57421875" style="276" customWidth="1"/>
    <col min="8" max="8" width="8.421875" style="276" customWidth="1"/>
    <col min="9" max="9" width="8.00390625" style="276" customWidth="1"/>
    <col min="10" max="10" width="10.00390625" style="274" customWidth="1"/>
    <col min="11" max="11" width="10.140625" style="275" customWidth="1"/>
    <col min="12" max="15" width="11.421875" style="276" customWidth="1"/>
    <col min="16" max="16384" width="0" style="276" hidden="1" customWidth="1"/>
  </cols>
  <sheetData>
    <row r="1" spans="1:10" ht="18.75" thickTop="1">
      <c r="A1" s="288" t="s">
        <v>153</v>
      </c>
      <c r="B1" s="289"/>
      <c r="C1" s="2" t="s">
        <v>0</v>
      </c>
      <c r="D1" s="290"/>
      <c r="E1" s="3"/>
      <c r="F1" s="5"/>
      <c r="G1" s="5"/>
      <c r="H1" s="5"/>
      <c r="I1" s="5"/>
      <c r="J1" s="145"/>
    </row>
    <row r="2" spans="1:10" ht="13.5" thickBot="1">
      <c r="A2" s="12" t="s">
        <v>148</v>
      </c>
      <c r="B2" s="13"/>
      <c r="C2" s="13"/>
      <c r="D2" s="291"/>
      <c r="E2" s="14"/>
      <c r="F2" s="5"/>
      <c r="G2" s="5"/>
      <c r="H2" s="5"/>
      <c r="I2" s="5"/>
      <c r="J2" s="145"/>
    </row>
    <row r="3" spans="1:10" ht="13.5" thickTop="1">
      <c r="A3" s="1" t="s">
        <v>1</v>
      </c>
      <c r="B3" s="3"/>
      <c r="C3" s="39" t="s">
        <v>2</v>
      </c>
      <c r="D3" s="298"/>
      <c r="E3" s="3"/>
      <c r="F3" s="4"/>
      <c r="G3" s="5"/>
      <c r="H3" s="5"/>
      <c r="I3" s="5"/>
      <c r="J3" s="145"/>
    </row>
    <row r="4" spans="1:10" ht="12.75">
      <c r="A4" s="4" t="s">
        <v>3</v>
      </c>
      <c r="B4" s="7"/>
      <c r="C4" s="314" t="s">
        <v>53</v>
      </c>
      <c r="D4" s="315"/>
      <c r="E4" s="7"/>
      <c r="F4" s="4"/>
      <c r="G4" s="5"/>
      <c r="H4" s="5"/>
      <c r="I4" s="5"/>
      <c r="J4" s="145"/>
    </row>
    <row r="5" spans="1:10" ht="13.5" thickBot="1">
      <c r="A5" s="12" t="s">
        <v>5</v>
      </c>
      <c r="B5" s="14"/>
      <c r="C5" s="307" t="s">
        <v>6</v>
      </c>
      <c r="D5" s="308"/>
      <c r="E5" s="14"/>
      <c r="F5" s="4"/>
      <c r="G5" s="5"/>
      <c r="H5" s="5"/>
      <c r="I5" s="5"/>
      <c r="J5" s="145"/>
    </row>
    <row r="6" spans="1:10" ht="13.5" thickTop="1">
      <c r="A6" s="117" t="s">
        <v>24</v>
      </c>
      <c r="B6" s="50">
        <v>0.001</v>
      </c>
      <c r="C6" s="31" t="s">
        <v>54</v>
      </c>
      <c r="D6" s="144">
        <v>1.91</v>
      </c>
      <c r="E6" s="15" t="s">
        <v>159</v>
      </c>
      <c r="F6" s="59"/>
      <c r="G6" s="5"/>
      <c r="H6" s="59"/>
      <c r="I6" s="5"/>
      <c r="J6" s="145"/>
    </row>
    <row r="7" spans="1:10" ht="12.75">
      <c r="A7" s="34" t="s">
        <v>9</v>
      </c>
      <c r="B7" s="51">
        <v>10</v>
      </c>
      <c r="C7" s="6" t="s">
        <v>55</v>
      </c>
      <c r="D7" s="95">
        <v>0.86</v>
      </c>
      <c r="E7" s="15" t="s">
        <v>159</v>
      </c>
      <c r="F7" s="59" t="s">
        <v>0</v>
      </c>
      <c r="G7" s="15"/>
      <c r="H7" s="59"/>
      <c r="I7" s="5"/>
      <c r="J7" s="145"/>
    </row>
    <row r="8" spans="1:10" ht="12.75">
      <c r="A8" s="34" t="s">
        <v>56</v>
      </c>
      <c r="B8" s="299">
        <v>0</v>
      </c>
      <c r="C8" s="6" t="s">
        <v>57</v>
      </c>
      <c r="D8" s="300" t="str">
        <f>IF(D6&lt;D7,"raide","douce")</f>
        <v>douce</v>
      </c>
      <c r="E8" s="15"/>
      <c r="F8" s="99"/>
      <c r="G8" s="15"/>
      <c r="H8" s="5"/>
      <c r="I8" s="5"/>
      <c r="J8" s="145"/>
    </row>
    <row r="9" spans="1:10" ht="12.75">
      <c r="A9" s="34" t="s">
        <v>31</v>
      </c>
      <c r="B9" s="51">
        <v>0.03</v>
      </c>
      <c r="C9" s="6"/>
      <c r="D9" s="116"/>
      <c r="E9" s="15"/>
      <c r="F9" s="100"/>
      <c r="G9" s="59"/>
      <c r="H9" s="100"/>
      <c r="I9" s="100"/>
      <c r="J9" s="145"/>
    </row>
    <row r="10" spans="1:10" ht="12.75">
      <c r="A10" s="15"/>
      <c r="B10" s="15"/>
      <c r="C10" s="6"/>
      <c r="D10" s="116"/>
      <c r="E10" s="102"/>
      <c r="F10" s="5"/>
      <c r="G10" s="15"/>
      <c r="H10" s="5"/>
      <c r="I10" s="5"/>
      <c r="J10" s="145"/>
    </row>
    <row r="11" spans="1:10" ht="12.75">
      <c r="A11" s="34" t="s">
        <v>58</v>
      </c>
      <c r="B11" s="61">
        <v>25</v>
      </c>
      <c r="C11" s="15"/>
      <c r="D11" s="15" t="s">
        <v>0</v>
      </c>
      <c r="E11" s="102"/>
      <c r="F11" s="5"/>
      <c r="G11" s="15" t="s">
        <v>0</v>
      </c>
      <c r="H11" s="5"/>
      <c r="I11" s="5"/>
      <c r="J11" s="145"/>
    </row>
    <row r="12" spans="1:10" ht="12.75">
      <c r="A12" s="15"/>
      <c r="B12" s="15" t="s">
        <v>0</v>
      </c>
      <c r="C12" s="98" t="s">
        <v>0</v>
      </c>
      <c r="D12" s="292"/>
      <c r="E12" s="5"/>
      <c r="F12" s="5"/>
      <c r="G12" s="6"/>
      <c r="H12" s="6"/>
      <c r="I12" s="102"/>
      <c r="J12" s="145"/>
    </row>
    <row r="13" spans="1:10" ht="12.75">
      <c r="A13" s="34" t="s">
        <v>8</v>
      </c>
      <c r="B13" s="51">
        <v>3</v>
      </c>
      <c r="C13" s="6"/>
      <c r="D13" s="5"/>
      <c r="E13" s="5"/>
      <c r="F13" s="5"/>
      <c r="G13" s="6"/>
      <c r="H13" s="6"/>
      <c r="I13" s="102"/>
      <c r="J13" s="145"/>
    </row>
    <row r="14" spans="1:10" ht="12.75">
      <c r="A14" s="34" t="s">
        <v>10</v>
      </c>
      <c r="B14" s="61">
        <f>D6-B13</f>
        <v>-1.09</v>
      </c>
      <c r="C14" s="6"/>
      <c r="D14" s="292"/>
      <c r="E14" s="5"/>
      <c r="F14" s="5"/>
      <c r="G14" s="6"/>
      <c r="H14" s="6"/>
      <c r="I14" s="102"/>
      <c r="J14" s="145"/>
    </row>
    <row r="15" spans="1:10" ht="12.75">
      <c r="A15" s="15"/>
      <c r="B15" s="15"/>
      <c r="C15" s="5"/>
      <c r="D15" s="293"/>
      <c r="E15" s="98"/>
      <c r="F15" s="5"/>
      <c r="G15" s="6"/>
      <c r="H15" s="6"/>
      <c r="I15" s="102"/>
      <c r="J15" s="145"/>
    </row>
    <row r="16" spans="1:11" s="205" customFormat="1" ht="12.75">
      <c r="A16" s="106" t="s">
        <v>59</v>
      </c>
      <c r="B16" s="107" t="s">
        <v>60</v>
      </c>
      <c r="C16" s="295" t="s">
        <v>20</v>
      </c>
      <c r="D16" s="107" t="s">
        <v>61</v>
      </c>
      <c r="E16" s="106" t="s">
        <v>62</v>
      </c>
      <c r="F16" s="107" t="s">
        <v>14</v>
      </c>
      <c r="G16" s="108" t="s">
        <v>15</v>
      </c>
      <c r="H16" s="107" t="s">
        <v>16</v>
      </c>
      <c r="I16" s="296" t="s">
        <v>19</v>
      </c>
      <c r="J16" s="297" t="s">
        <v>13</v>
      </c>
      <c r="K16" s="296"/>
    </row>
    <row r="17" spans="1:11" ht="12.75">
      <c r="A17" s="100" t="s">
        <v>63</v>
      </c>
      <c r="B17" s="59" t="s">
        <v>63</v>
      </c>
      <c r="C17" s="292"/>
      <c r="D17" s="34"/>
      <c r="E17" s="101" t="s">
        <v>63</v>
      </c>
      <c r="F17" s="59" t="s">
        <v>22</v>
      </c>
      <c r="G17" s="100" t="s">
        <v>21</v>
      </c>
      <c r="H17" s="111" t="s">
        <v>21</v>
      </c>
      <c r="I17" s="294" t="s">
        <v>23</v>
      </c>
      <c r="J17" s="145" t="s">
        <v>21</v>
      </c>
      <c r="K17" s="276"/>
    </row>
    <row r="18" spans="1:256" s="306" customFormat="1" ht="12.75">
      <c r="A18" s="301">
        <v>0</v>
      </c>
      <c r="B18" s="302">
        <f>$B$13</f>
        <v>3</v>
      </c>
      <c r="C18" s="301">
        <f>($B$11^2*H18/9.806/F18^3)^0.5</f>
        <v>0.15364278901565284</v>
      </c>
      <c r="D18" s="303">
        <f>$B$11^2*$B$9^2/F18^2/(F18/G18)^(4/3)</f>
        <v>0.00027032008869215117</v>
      </c>
      <c r="E18" s="301"/>
      <c r="F18" s="302">
        <f>($B$7+$B$8*$B$13)*B13</f>
        <v>30</v>
      </c>
      <c r="G18" s="301">
        <f>(1+$B$8^2)^0.5*2*$B$13+$B$7</f>
        <v>16</v>
      </c>
      <c r="H18" s="301">
        <f>$B$7+2*$B$8*$B$13</f>
        <v>10</v>
      </c>
      <c r="I18" s="304">
        <f>$B$11/F18</f>
        <v>0.8333333333333334</v>
      </c>
      <c r="J18" s="305">
        <f>B18+I18^2/2/9.806</f>
        <v>3.035409159924763</v>
      </c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  <c r="IR18" s="276"/>
      <c r="IS18" s="276"/>
      <c r="IT18" s="276"/>
      <c r="IU18" s="276"/>
      <c r="IV18" s="276"/>
    </row>
    <row r="19" spans="1:256" s="306" customFormat="1" ht="12.75">
      <c r="A19" s="301">
        <f>A18+E19</f>
        <v>-2851.431350856504</v>
      </c>
      <c r="B19" s="302">
        <f>B18+$B$14</f>
        <v>1.91</v>
      </c>
      <c r="C19" s="301">
        <f>($B$11^2*H19/9.806/F19^3)^0.5</f>
        <v>0.30244333153524944</v>
      </c>
      <c r="D19" s="303">
        <f>$B$11^2*$B$9^2/F19^2/(F19/G19)^(4/3)</f>
        <v>0.001001587033028755</v>
      </c>
      <c r="E19" s="304">
        <f>(J19-J18)/($B$6-(D18+D19)/2)</f>
        <v>-2851.431350856504</v>
      </c>
      <c r="F19" s="302">
        <f>($B$7+$B$8*B19)*B19</f>
        <v>19.099999999999998</v>
      </c>
      <c r="G19" s="301">
        <f>(1+$B$8^2)^0.5*2*B19+$B$7</f>
        <v>13.82</v>
      </c>
      <c r="H19" s="301">
        <f>$B$7+2*$B$8*B19</f>
        <v>10</v>
      </c>
      <c r="I19" s="304">
        <f>$B$11/F19</f>
        <v>1.3089005235602096</v>
      </c>
      <c r="J19" s="305">
        <f>B19+I19^2/2/9.806</f>
        <v>1.9973557301945843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  <c r="IR19" s="276"/>
      <c r="IS19" s="276"/>
      <c r="IT19" s="276"/>
      <c r="IU19" s="276"/>
      <c r="IV19" s="276"/>
    </row>
    <row r="20" spans="1:256" s="313" customFormat="1" ht="12.75">
      <c r="A20" s="204">
        <f>A19+E20</f>
        <v>-2737.4956894039087</v>
      </c>
      <c r="B20" s="203">
        <f>B19+$B$14</f>
        <v>0.8199999999999998</v>
      </c>
      <c r="C20" s="204">
        <f>($B$11^2*H20/9.806/F20^3)^0.5</f>
        <v>1.0751604629979943</v>
      </c>
      <c r="D20" s="309">
        <f>$B$11^2*$B$9^2/F20^2/(F20/G20)^(4/3)</f>
        <v>0.013345873148218909</v>
      </c>
      <c r="E20" s="310">
        <f>(J20-J19)/($B$6-(D19+D20)/2)</f>
        <v>113.93566145259561</v>
      </c>
      <c r="F20" s="203">
        <f>($B$7+$B$8*B20)*B20</f>
        <v>8.2</v>
      </c>
      <c r="G20" s="204">
        <f>(1+$B$8^2)^0.5*2*B20+$B$7</f>
        <v>11.64</v>
      </c>
      <c r="H20" s="204">
        <f>$B$7+2*$B$8*B20</f>
        <v>10</v>
      </c>
      <c r="I20" s="311">
        <f>$B$11/F20</f>
        <v>3.048780487804878</v>
      </c>
      <c r="J20" s="312">
        <f>B20+I20^2/2/9.806</f>
        <v>1.293947708689565</v>
      </c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6"/>
      <c r="GU20" s="276"/>
      <c r="GV20" s="276"/>
      <c r="GW20" s="276"/>
      <c r="GX20" s="276"/>
      <c r="GY20" s="276"/>
      <c r="GZ20" s="276"/>
      <c r="HA20" s="276"/>
      <c r="HB20" s="276"/>
      <c r="HC20" s="276"/>
      <c r="HD20" s="276"/>
      <c r="HE20" s="276"/>
      <c r="HF20" s="276"/>
      <c r="HG20" s="276"/>
      <c r="HH20" s="276"/>
      <c r="HI20" s="276"/>
      <c r="HJ20" s="276"/>
      <c r="HK20" s="276"/>
      <c r="HL20" s="276"/>
      <c r="HM20" s="276"/>
      <c r="HN20" s="276"/>
      <c r="HO20" s="276"/>
      <c r="HP20" s="276"/>
      <c r="HQ20" s="276"/>
      <c r="HR20" s="276"/>
      <c r="HS20" s="276"/>
      <c r="HT20" s="276"/>
      <c r="HU20" s="276"/>
      <c r="HV20" s="276"/>
      <c r="HW20" s="276"/>
      <c r="HX20" s="276"/>
      <c r="HY20" s="276"/>
      <c r="HZ20" s="276"/>
      <c r="IA20" s="276"/>
      <c r="IB20" s="276"/>
      <c r="IC20" s="276"/>
      <c r="ID20" s="276"/>
      <c r="IE20" s="276"/>
      <c r="IF20" s="276"/>
      <c r="IG20" s="276"/>
      <c r="IH20" s="276"/>
      <c r="II20" s="276"/>
      <c r="IJ20" s="276"/>
      <c r="IK20" s="276"/>
      <c r="IL20" s="276"/>
      <c r="IM20" s="276"/>
      <c r="IN20" s="276"/>
      <c r="IO20" s="276"/>
      <c r="IP20" s="276"/>
      <c r="IQ20" s="276"/>
      <c r="IR20" s="276"/>
      <c r="IS20" s="276"/>
      <c r="IT20" s="276"/>
      <c r="IU20" s="276"/>
      <c r="IV20" s="276"/>
    </row>
    <row r="21" spans="1:256" s="313" customFormat="1" ht="12.75">
      <c r="A21" s="204" t="e">
        <f aca="true" t="shared" si="0" ref="A21:A33">A20+E21</f>
        <v>#NUM!</v>
      </c>
      <c r="B21" s="203">
        <f aca="true" t="shared" si="1" ref="B21:B33">B20+$B$14</f>
        <v>-0.27000000000000024</v>
      </c>
      <c r="C21" s="204" t="e">
        <f aca="true" t="shared" si="2" ref="C21:C33">($B$11^2*H21/9.806/F21^3)^0.5</f>
        <v>#NUM!</v>
      </c>
      <c r="D21" s="309" t="e">
        <f aca="true" t="shared" si="3" ref="D21:D33">$B$11^2*$B$9^2/F21^2/(F21/G21)^(4/3)</f>
        <v>#NUM!</v>
      </c>
      <c r="E21" s="310" t="e">
        <f aca="true" t="shared" si="4" ref="E21:E33">(J21-J20)/($B$6-(D20+D21)/2)</f>
        <v>#NUM!</v>
      </c>
      <c r="F21" s="203">
        <f aca="true" t="shared" si="5" ref="F21:F33">($B$7+$B$8*B21)*B21</f>
        <v>-2.7000000000000024</v>
      </c>
      <c r="G21" s="204">
        <f aca="true" t="shared" si="6" ref="G21:G33">(1+$B$8^2)^0.5*2*B21+$B$7</f>
        <v>9.459999999999999</v>
      </c>
      <c r="H21" s="204">
        <f aca="true" t="shared" si="7" ref="H21:H33">$B$7+2*$B$8*B21</f>
        <v>10</v>
      </c>
      <c r="I21" s="311">
        <f aca="true" t="shared" si="8" ref="I21:I33">$B$11/F21</f>
        <v>-9.25925925925925</v>
      </c>
      <c r="J21" s="312">
        <f aca="true" t="shared" si="9" ref="J21:J33">B21+I21^2/2/9.806</f>
        <v>4.1015012252793275</v>
      </c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  <c r="II21" s="276"/>
      <c r="IJ21" s="276"/>
      <c r="IK21" s="276"/>
      <c r="IL21" s="276"/>
      <c r="IM21" s="276"/>
      <c r="IN21" s="276"/>
      <c r="IO21" s="276"/>
      <c r="IP21" s="276"/>
      <c r="IQ21" s="276"/>
      <c r="IR21" s="276"/>
      <c r="IS21" s="276"/>
      <c r="IT21" s="276"/>
      <c r="IU21" s="276"/>
      <c r="IV21" s="276"/>
    </row>
    <row r="22" spans="1:256" s="313" customFormat="1" ht="12.75">
      <c r="A22" s="204" t="e">
        <f t="shared" si="0"/>
        <v>#NUM!</v>
      </c>
      <c r="B22" s="203">
        <f t="shared" si="1"/>
        <v>-1.3600000000000003</v>
      </c>
      <c r="C22" s="204" t="e">
        <f t="shared" si="2"/>
        <v>#NUM!</v>
      </c>
      <c r="D22" s="309" t="e">
        <f t="shared" si="3"/>
        <v>#NUM!</v>
      </c>
      <c r="E22" s="310" t="e">
        <f t="shared" si="4"/>
        <v>#NUM!</v>
      </c>
      <c r="F22" s="203">
        <f t="shared" si="5"/>
        <v>-13.600000000000003</v>
      </c>
      <c r="G22" s="204">
        <f t="shared" si="6"/>
        <v>7.279999999999999</v>
      </c>
      <c r="H22" s="204">
        <f t="shared" si="7"/>
        <v>10</v>
      </c>
      <c r="I22" s="311">
        <f t="shared" si="8"/>
        <v>-1.8382352941176465</v>
      </c>
      <c r="J22" s="312">
        <f t="shared" si="9"/>
        <v>-1.1877019683591787</v>
      </c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  <c r="IS22" s="276"/>
      <c r="IT22" s="276"/>
      <c r="IU22" s="276"/>
      <c r="IV22" s="276"/>
    </row>
    <row r="23" spans="1:256" s="313" customFormat="1" ht="12.75">
      <c r="A23" s="204" t="e">
        <f t="shared" si="0"/>
        <v>#NUM!</v>
      </c>
      <c r="B23" s="203">
        <f t="shared" si="1"/>
        <v>-2.45</v>
      </c>
      <c r="C23" s="204" t="e">
        <f t="shared" si="2"/>
        <v>#NUM!</v>
      </c>
      <c r="D23" s="309" t="e">
        <f t="shared" si="3"/>
        <v>#NUM!</v>
      </c>
      <c r="E23" s="310" t="e">
        <f t="shared" si="4"/>
        <v>#NUM!</v>
      </c>
      <c r="F23" s="203">
        <f t="shared" si="5"/>
        <v>-24.5</v>
      </c>
      <c r="G23" s="204">
        <f t="shared" si="6"/>
        <v>5.1</v>
      </c>
      <c r="H23" s="204">
        <f t="shared" si="7"/>
        <v>10</v>
      </c>
      <c r="I23" s="311">
        <f t="shared" si="8"/>
        <v>-1.0204081632653061</v>
      </c>
      <c r="J23" s="312">
        <f t="shared" si="9"/>
        <v>-2.3969083816205146</v>
      </c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s="313" customFormat="1" ht="12.75">
      <c r="A24" s="204" t="e">
        <f t="shared" si="0"/>
        <v>#NUM!</v>
      </c>
      <c r="B24" s="203">
        <f t="shared" si="1"/>
        <v>-3.54</v>
      </c>
      <c r="C24" s="204" t="e">
        <f t="shared" si="2"/>
        <v>#NUM!</v>
      </c>
      <c r="D24" s="309" t="e">
        <f t="shared" si="3"/>
        <v>#NUM!</v>
      </c>
      <c r="E24" s="310" t="e">
        <f t="shared" si="4"/>
        <v>#NUM!</v>
      </c>
      <c r="F24" s="203">
        <f t="shared" si="5"/>
        <v>-35.4</v>
      </c>
      <c r="G24" s="204">
        <f t="shared" si="6"/>
        <v>2.92</v>
      </c>
      <c r="H24" s="204">
        <f t="shared" si="7"/>
        <v>10</v>
      </c>
      <c r="I24" s="311">
        <f t="shared" si="8"/>
        <v>-0.7062146892655368</v>
      </c>
      <c r="J24" s="312">
        <f t="shared" si="9"/>
        <v>-3.5145696926710985</v>
      </c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s="313" customFormat="1" ht="12.75">
      <c r="A25" s="204" t="e">
        <f t="shared" si="0"/>
        <v>#NUM!</v>
      </c>
      <c r="B25" s="203">
        <f t="shared" si="1"/>
        <v>-4.63</v>
      </c>
      <c r="C25" s="204" t="e">
        <f t="shared" si="2"/>
        <v>#NUM!</v>
      </c>
      <c r="D25" s="309" t="e">
        <f t="shared" si="3"/>
        <v>#NUM!</v>
      </c>
      <c r="E25" s="310" t="e">
        <f t="shared" si="4"/>
        <v>#NUM!</v>
      </c>
      <c r="F25" s="203">
        <f t="shared" si="5"/>
        <v>-46.3</v>
      </c>
      <c r="G25" s="204">
        <f t="shared" si="6"/>
        <v>0.7400000000000002</v>
      </c>
      <c r="H25" s="204">
        <f t="shared" si="7"/>
        <v>10</v>
      </c>
      <c r="I25" s="311">
        <f t="shared" si="8"/>
        <v>-0.5399568034557236</v>
      </c>
      <c r="J25" s="312">
        <f t="shared" si="9"/>
        <v>-4.615133930777171</v>
      </c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s="313" customFormat="1" ht="12.75">
      <c r="A26" s="204" t="e">
        <f t="shared" si="0"/>
        <v>#NUM!</v>
      </c>
      <c r="B26" s="203">
        <f t="shared" si="1"/>
        <v>-5.72</v>
      </c>
      <c r="C26" s="204" t="e">
        <f t="shared" si="2"/>
        <v>#NUM!</v>
      </c>
      <c r="D26" s="309">
        <f t="shared" si="3"/>
        <v>1.2684862197270686E-06</v>
      </c>
      <c r="E26" s="310" t="e">
        <f t="shared" si="4"/>
        <v>#NUM!</v>
      </c>
      <c r="F26" s="203">
        <f t="shared" si="5"/>
        <v>-57.199999999999996</v>
      </c>
      <c r="G26" s="204">
        <f t="shared" si="6"/>
        <v>-1.4399999999999995</v>
      </c>
      <c r="H26" s="204">
        <f t="shared" si="7"/>
        <v>10</v>
      </c>
      <c r="I26" s="311">
        <f t="shared" si="8"/>
        <v>-0.4370629370629371</v>
      </c>
      <c r="J26" s="312">
        <f t="shared" si="9"/>
        <v>-5.710259840355186</v>
      </c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  <c r="II26" s="276"/>
      <c r="IJ26" s="276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s="313" customFormat="1" ht="12.75">
      <c r="A27" s="204" t="e">
        <f t="shared" si="0"/>
        <v>#NUM!</v>
      </c>
      <c r="B27" s="203">
        <f t="shared" si="1"/>
        <v>-6.81</v>
      </c>
      <c r="C27" s="204" t="e">
        <f t="shared" si="2"/>
        <v>#NUM!</v>
      </c>
      <c r="D27" s="309">
        <f t="shared" si="3"/>
        <v>2.4242472657470444E-06</v>
      </c>
      <c r="E27" s="310">
        <f t="shared" si="4"/>
        <v>-1094.89003265258</v>
      </c>
      <c r="F27" s="203">
        <f t="shared" si="5"/>
        <v>-68.1</v>
      </c>
      <c r="G27" s="204">
        <f t="shared" si="6"/>
        <v>-3.619999999999999</v>
      </c>
      <c r="H27" s="204">
        <f t="shared" si="7"/>
        <v>10</v>
      </c>
      <c r="I27" s="311">
        <f t="shared" si="8"/>
        <v>-0.3671071953010279</v>
      </c>
      <c r="J27" s="312">
        <f t="shared" si="9"/>
        <v>-6.803128304464522</v>
      </c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s="313" customFormat="1" ht="12.75">
      <c r="A28" s="204" t="e">
        <f t="shared" si="0"/>
        <v>#NUM!</v>
      </c>
      <c r="B28" s="203">
        <f t="shared" si="1"/>
        <v>-7.8999999999999995</v>
      </c>
      <c r="C28" s="204" t="e">
        <f t="shared" si="2"/>
        <v>#NUM!</v>
      </c>
      <c r="D28" s="309">
        <f t="shared" si="3"/>
        <v>2.7707853362470833E-06</v>
      </c>
      <c r="E28" s="310">
        <f t="shared" si="4"/>
        <v>-1094.6086873832348</v>
      </c>
      <c r="F28" s="203">
        <f t="shared" si="5"/>
        <v>-79</v>
      </c>
      <c r="G28" s="204">
        <f t="shared" si="6"/>
        <v>-5.799999999999999</v>
      </c>
      <c r="H28" s="204">
        <f t="shared" si="7"/>
        <v>10</v>
      </c>
      <c r="I28" s="311">
        <f t="shared" si="8"/>
        <v>-0.31645569620253167</v>
      </c>
      <c r="J28" s="312">
        <f t="shared" si="9"/>
        <v>-7.894893727939066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s="313" customFormat="1" ht="12.75">
      <c r="A29" s="204" t="e">
        <f t="shared" si="0"/>
        <v>#NUM!</v>
      </c>
      <c r="B29" s="203">
        <f t="shared" si="1"/>
        <v>-8.99</v>
      </c>
      <c r="C29" s="204" t="e">
        <f t="shared" si="2"/>
        <v>#NUM!</v>
      </c>
      <c r="D29" s="309">
        <f t="shared" si="3"/>
        <v>2.7558827905464974E-06</v>
      </c>
      <c r="E29" s="310">
        <f t="shared" si="4"/>
        <v>-1094.1867669272124</v>
      </c>
      <c r="F29" s="203">
        <f t="shared" si="5"/>
        <v>-89.9</v>
      </c>
      <c r="G29" s="204">
        <f t="shared" si="6"/>
        <v>-7.98</v>
      </c>
      <c r="H29" s="204">
        <f t="shared" si="7"/>
        <v>10</v>
      </c>
      <c r="I29" s="311">
        <f t="shared" si="8"/>
        <v>-0.27808676307007785</v>
      </c>
      <c r="J29" s="312">
        <f t="shared" si="9"/>
        <v>-8.98605689130151</v>
      </c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s="313" customFormat="1" ht="12.75">
      <c r="A30" s="204" t="e">
        <f t="shared" si="0"/>
        <v>#NUM!</v>
      </c>
      <c r="B30" s="203">
        <f t="shared" si="1"/>
        <v>-10.08</v>
      </c>
      <c r="C30" s="204" t="e">
        <f t="shared" si="2"/>
        <v>#NUM!</v>
      </c>
      <c r="D30" s="309">
        <f t="shared" si="3"/>
        <v>2.5968430190111103E-06</v>
      </c>
      <c r="E30" s="310">
        <f t="shared" si="4"/>
        <v>-1093.7338969166462</v>
      </c>
      <c r="F30" s="203">
        <f t="shared" si="5"/>
        <v>-100.8</v>
      </c>
      <c r="G30" s="204">
        <f t="shared" si="6"/>
        <v>-10.16</v>
      </c>
      <c r="H30" s="204">
        <f t="shared" si="7"/>
        <v>10</v>
      </c>
      <c r="I30" s="311">
        <f t="shared" si="8"/>
        <v>-0.24801587301587302</v>
      </c>
      <c r="J30" s="312">
        <f t="shared" si="9"/>
        <v>-10.07686355938875</v>
      </c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s="313" customFormat="1" ht="12.75">
      <c r="A31" s="204" t="e">
        <f t="shared" si="0"/>
        <v>#NUM!</v>
      </c>
      <c r="B31" s="203">
        <f t="shared" si="1"/>
        <v>-11.17</v>
      </c>
      <c r="C31" s="204" t="e">
        <f t="shared" si="2"/>
        <v>#NUM!</v>
      </c>
      <c r="D31" s="309">
        <f t="shared" si="3"/>
        <v>2.3898216764119767E-06</v>
      </c>
      <c r="E31" s="310">
        <f t="shared" si="4"/>
        <v>-1093.3082397256944</v>
      </c>
      <c r="F31" s="203">
        <f t="shared" si="5"/>
        <v>-111.7</v>
      </c>
      <c r="G31" s="204">
        <f t="shared" si="6"/>
        <v>-12.34</v>
      </c>
      <c r="H31" s="204">
        <f t="shared" si="7"/>
        <v>10</v>
      </c>
      <c r="I31" s="311">
        <f t="shared" si="8"/>
        <v>-0.22381378692927484</v>
      </c>
      <c r="J31" s="312">
        <f t="shared" si="9"/>
        <v>-11.167445818314317</v>
      </c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s="313" customFormat="1" ht="12.75">
      <c r="A32" s="204" t="e">
        <f t="shared" si="0"/>
        <v>#NUM!</v>
      </c>
      <c r="B32" s="203">
        <f t="shared" si="1"/>
        <v>-12.26</v>
      </c>
      <c r="C32" s="204" t="e">
        <f t="shared" si="2"/>
        <v>#NUM!</v>
      </c>
      <c r="D32" s="309">
        <f t="shared" si="3"/>
        <v>2.176589090115973E-06</v>
      </c>
      <c r="E32" s="310">
        <f t="shared" si="4"/>
        <v>-1092.929362120412</v>
      </c>
      <c r="F32" s="203">
        <f t="shared" si="5"/>
        <v>-122.6</v>
      </c>
      <c r="G32" s="204">
        <f t="shared" si="6"/>
        <v>-14.52</v>
      </c>
      <c r="H32" s="204">
        <f t="shared" si="7"/>
        <v>10</v>
      </c>
      <c r="I32" s="311">
        <f t="shared" si="8"/>
        <v>-0.2039151712887439</v>
      </c>
      <c r="J32" s="312">
        <f t="shared" si="9"/>
        <v>-12.257879798231608</v>
      </c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256" s="313" customFormat="1" ht="12.75">
      <c r="A33" s="204" t="e">
        <f t="shared" si="0"/>
        <v>#NUM!</v>
      </c>
      <c r="B33" s="203">
        <f t="shared" si="1"/>
        <v>-13.35</v>
      </c>
      <c r="C33" s="204" t="e">
        <f t="shared" si="2"/>
        <v>#NUM!</v>
      </c>
      <c r="D33" s="309">
        <f t="shared" si="3"/>
        <v>1.974574856843923E-06</v>
      </c>
      <c r="E33" s="310">
        <f t="shared" si="4"/>
        <v>-1092.5998667178126</v>
      </c>
      <c r="F33" s="203">
        <f t="shared" si="5"/>
        <v>-133.5</v>
      </c>
      <c r="G33" s="204">
        <f t="shared" si="6"/>
        <v>-16.7</v>
      </c>
      <c r="H33" s="204">
        <f t="shared" si="7"/>
        <v>10</v>
      </c>
      <c r="I33" s="311">
        <f t="shared" si="8"/>
        <v>-0.18726591760299627</v>
      </c>
      <c r="J33" s="312">
        <f t="shared" si="9"/>
        <v>-13.348211884361834</v>
      </c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  <c r="II33" s="276"/>
      <c r="IJ33" s="276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</row>
    <row r="34" spans="1:256" s="313" customFormat="1" ht="12.75">
      <c r="A34" s="316"/>
      <c r="B34" s="172"/>
      <c r="C34" s="316"/>
      <c r="D34" s="317"/>
      <c r="E34" s="318"/>
      <c r="F34" s="172"/>
      <c r="G34" s="316"/>
      <c r="H34" s="316"/>
      <c r="I34" s="296"/>
      <c r="J34" s="319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</row>
    <row r="35" spans="1:256" s="313" customFormat="1" ht="12.75">
      <c r="A35" s="316"/>
      <c r="B35" s="172"/>
      <c r="C35" s="316"/>
      <c r="D35" s="317"/>
      <c r="E35" s="318"/>
      <c r="F35" s="172"/>
      <c r="G35" s="316"/>
      <c r="H35" s="316"/>
      <c r="I35" s="296"/>
      <c r="J35" s="319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  <c r="IR35" s="276"/>
      <c r="IS35" s="276"/>
      <c r="IT35" s="276"/>
      <c r="IU35" s="276"/>
      <c r="IV35" s="276"/>
    </row>
    <row r="36" spans="1:256" s="313" customFormat="1" ht="12.75">
      <c r="A36" s="316"/>
      <c r="B36" s="172"/>
      <c r="C36" s="316"/>
      <c r="D36" s="317"/>
      <c r="E36" s="318"/>
      <c r="F36" s="172"/>
      <c r="G36" s="316"/>
      <c r="H36" s="316"/>
      <c r="I36" s="296"/>
      <c r="J36" s="319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s="313" customFormat="1" ht="12.75">
      <c r="A37" s="316"/>
      <c r="B37" s="172"/>
      <c r="C37" s="316"/>
      <c r="D37" s="317"/>
      <c r="E37" s="318"/>
      <c r="F37" s="172"/>
      <c r="G37" s="316"/>
      <c r="H37" s="316"/>
      <c r="I37" s="296"/>
      <c r="J37" s="319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</row>
    <row r="38" spans="1:256" s="313" customFormat="1" ht="12.75">
      <c r="A38" s="316"/>
      <c r="B38" s="172"/>
      <c r="C38" s="316"/>
      <c r="D38" s="317"/>
      <c r="E38" s="318"/>
      <c r="F38" s="172"/>
      <c r="G38" s="316"/>
      <c r="H38" s="316"/>
      <c r="I38" s="296"/>
      <c r="J38" s="319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</row>
    <row r="39" spans="1:10" s="282" customFormat="1" ht="12.75">
      <c r="A39" s="277"/>
      <c r="B39" s="278"/>
      <c r="C39" s="277"/>
      <c r="D39" s="279"/>
      <c r="E39" s="280"/>
      <c r="F39" s="278"/>
      <c r="G39" s="277"/>
      <c r="H39" s="277"/>
      <c r="I39" s="280"/>
      <c r="J39" s="281"/>
    </row>
    <row r="40" spans="1:10" s="282" customFormat="1" ht="12.75">
      <c r="A40" s="277"/>
      <c r="B40" s="278"/>
      <c r="C40" s="277"/>
      <c r="D40" s="279"/>
      <c r="E40" s="280"/>
      <c r="F40" s="278"/>
      <c r="G40" s="277"/>
      <c r="H40" s="277"/>
      <c r="I40" s="280"/>
      <c r="J40" s="281"/>
    </row>
    <row r="41" spans="1:10" s="282" customFormat="1" ht="12.75">
      <c r="A41" s="277"/>
      <c r="B41" s="278"/>
      <c r="C41" s="277"/>
      <c r="D41" s="279"/>
      <c r="E41" s="280"/>
      <c r="F41" s="278"/>
      <c r="G41" s="277"/>
      <c r="H41" s="277"/>
      <c r="I41" s="280"/>
      <c r="J41" s="281"/>
    </row>
    <row r="42" spans="1:10" s="282" customFormat="1" ht="12.75">
      <c r="A42" s="277"/>
      <c r="B42" s="278"/>
      <c r="C42" s="277"/>
      <c r="D42" s="279"/>
      <c r="E42" s="280"/>
      <c r="F42" s="278"/>
      <c r="G42" s="277"/>
      <c r="H42" s="277"/>
      <c r="I42" s="280"/>
      <c r="J42" s="281"/>
    </row>
    <row r="43" spans="1:10" s="282" customFormat="1" ht="12.75">
      <c r="A43" s="277"/>
      <c r="B43" s="278"/>
      <c r="C43" s="277"/>
      <c r="D43" s="279"/>
      <c r="E43" s="280"/>
      <c r="F43" s="278"/>
      <c r="G43" s="277"/>
      <c r="H43" s="277"/>
      <c r="I43" s="280"/>
      <c r="J43" s="281"/>
    </row>
    <row r="44" spans="1:10" s="282" customFormat="1" ht="12.75">
      <c r="A44" s="277"/>
      <c r="B44" s="278"/>
      <c r="C44" s="277"/>
      <c r="D44" s="279"/>
      <c r="E44" s="280"/>
      <c r="F44" s="278"/>
      <c r="G44" s="277"/>
      <c r="H44" s="277"/>
      <c r="I44" s="280"/>
      <c r="J44" s="281"/>
    </row>
    <row r="45" spans="1:10" s="282" customFormat="1" ht="12.75">
      <c r="A45" s="277"/>
      <c r="B45" s="278"/>
      <c r="C45" s="277"/>
      <c r="D45" s="279"/>
      <c r="E45" s="280"/>
      <c r="F45" s="278"/>
      <c r="G45" s="277"/>
      <c r="H45" s="277"/>
      <c r="I45" s="280"/>
      <c r="J45" s="281"/>
    </row>
    <row r="46" spans="1:10" s="282" customFormat="1" ht="12.75">
      <c r="A46" s="277"/>
      <c r="B46" s="278"/>
      <c r="C46" s="277"/>
      <c r="D46" s="279"/>
      <c r="E46" s="280"/>
      <c r="F46" s="278"/>
      <c r="G46" s="277"/>
      <c r="H46" s="277"/>
      <c r="I46" s="280"/>
      <c r="J46" s="281"/>
    </row>
    <row r="47" spans="1:10" s="282" customFormat="1" ht="12.75">
      <c r="A47" s="277"/>
      <c r="B47" s="278"/>
      <c r="C47" s="277"/>
      <c r="D47" s="279"/>
      <c r="E47" s="280"/>
      <c r="F47" s="278"/>
      <c r="G47" s="277"/>
      <c r="H47" s="277"/>
      <c r="I47" s="280"/>
      <c r="J47" s="281"/>
    </row>
    <row r="48" spans="1:10" s="282" customFormat="1" ht="12.75">
      <c r="A48" s="277"/>
      <c r="B48" s="278"/>
      <c r="C48" s="277"/>
      <c r="D48" s="279"/>
      <c r="E48" s="280"/>
      <c r="F48" s="278"/>
      <c r="G48" s="277"/>
      <c r="H48" s="277"/>
      <c r="I48" s="280"/>
      <c r="J48" s="281"/>
    </row>
    <row r="49" spans="1:10" s="282" customFormat="1" ht="12.75">
      <c r="A49" s="277"/>
      <c r="B49" s="278"/>
      <c r="C49" s="277"/>
      <c r="D49" s="279"/>
      <c r="E49" s="280"/>
      <c r="F49" s="278"/>
      <c r="G49" s="277"/>
      <c r="H49" s="277"/>
      <c r="I49" s="280"/>
      <c r="J49" s="281"/>
    </row>
    <row r="50" spans="1:10" s="282" customFormat="1" ht="12.75">
      <c r="A50" s="277"/>
      <c r="B50" s="278"/>
      <c r="C50" s="277"/>
      <c r="D50" s="279"/>
      <c r="E50" s="280"/>
      <c r="F50" s="278"/>
      <c r="G50" s="277"/>
      <c r="H50" s="277"/>
      <c r="I50" s="280"/>
      <c r="J50" s="281"/>
    </row>
    <row r="51" spans="1:10" s="282" customFormat="1" ht="12.75">
      <c r="A51" s="277"/>
      <c r="B51" s="278"/>
      <c r="C51" s="277"/>
      <c r="D51" s="279"/>
      <c r="E51" s="280"/>
      <c r="F51" s="278"/>
      <c r="G51" s="277"/>
      <c r="H51" s="277"/>
      <c r="I51" s="280"/>
      <c r="J51" s="281"/>
    </row>
    <row r="52" spans="1:10" s="282" customFormat="1" ht="12.75">
      <c r="A52" s="277"/>
      <c r="B52" s="278"/>
      <c r="C52" s="277"/>
      <c r="D52" s="279"/>
      <c r="E52" s="280"/>
      <c r="F52" s="278"/>
      <c r="G52" s="277"/>
      <c r="H52" s="277"/>
      <c r="I52" s="280"/>
      <c r="J52" s="281"/>
    </row>
    <row r="53" spans="1:10" s="282" customFormat="1" ht="12.75">
      <c r="A53" s="277"/>
      <c r="B53" s="278"/>
      <c r="C53" s="277"/>
      <c r="D53" s="279"/>
      <c r="E53" s="280"/>
      <c r="F53" s="278"/>
      <c r="G53" s="277"/>
      <c r="H53" s="277"/>
      <c r="I53" s="280"/>
      <c r="J53" s="281"/>
    </row>
    <row r="54" spans="1:10" s="282" customFormat="1" ht="12.75">
      <c r="A54" s="277"/>
      <c r="B54" s="278"/>
      <c r="C54" s="277"/>
      <c r="D54" s="279"/>
      <c r="E54" s="280"/>
      <c r="F54" s="278"/>
      <c r="G54" s="277"/>
      <c r="H54" s="277"/>
      <c r="I54" s="280"/>
      <c r="J54" s="281"/>
    </row>
    <row r="55" spans="1:10" s="282" customFormat="1" ht="12.75">
      <c r="A55" s="277"/>
      <c r="B55" s="278"/>
      <c r="C55" s="277"/>
      <c r="D55" s="279"/>
      <c r="E55" s="280"/>
      <c r="F55" s="278"/>
      <c r="G55" s="277"/>
      <c r="H55" s="277"/>
      <c r="I55" s="280"/>
      <c r="J55" s="281"/>
    </row>
    <row r="56" spans="1:10" s="282" customFormat="1" ht="12.75">
      <c r="A56" s="277"/>
      <c r="B56" s="278"/>
      <c r="C56" s="277"/>
      <c r="D56" s="279"/>
      <c r="E56" s="280"/>
      <c r="F56" s="278"/>
      <c r="G56" s="277"/>
      <c r="H56" s="277"/>
      <c r="I56" s="280"/>
      <c r="J56" s="281"/>
    </row>
    <row r="57" spans="1:10" s="282" customFormat="1" ht="12.75">
      <c r="A57" s="277"/>
      <c r="B57" s="278"/>
      <c r="C57" s="277"/>
      <c r="D57" s="279"/>
      <c r="E57" s="280"/>
      <c r="F57" s="278"/>
      <c r="G57" s="277"/>
      <c r="H57" s="277"/>
      <c r="I57" s="280"/>
      <c r="J57" s="281"/>
    </row>
    <row r="58" spans="1:10" s="282" customFormat="1" ht="12.75">
      <c r="A58" s="277"/>
      <c r="B58" s="283"/>
      <c r="C58" s="277"/>
      <c r="D58" s="279"/>
      <c r="E58" s="280"/>
      <c r="F58" s="278"/>
      <c r="G58" s="277"/>
      <c r="H58" s="277"/>
      <c r="I58" s="280"/>
      <c r="J58" s="281"/>
    </row>
    <row r="59" spans="4:11" s="282" customFormat="1" ht="12.75">
      <c r="D59" s="284"/>
      <c r="J59" s="281"/>
      <c r="K59" s="280"/>
    </row>
    <row r="60" spans="4:11" s="282" customFormat="1" ht="12.75">
      <c r="D60" s="284"/>
      <c r="J60" s="281"/>
      <c r="K60" s="28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22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2.00390625" style="0" customWidth="1"/>
    <col min="2" max="16384" width="11.421875" style="0" customWidth="1"/>
  </cols>
  <sheetData>
    <row r="1" spans="1:11" ht="18.75" thickTop="1">
      <c r="A1" s="89" t="s">
        <v>154</v>
      </c>
      <c r="B1" s="22"/>
      <c r="C1" s="22"/>
      <c r="D1" s="23"/>
      <c r="E1" s="325" t="s">
        <v>156</v>
      </c>
      <c r="F1" s="2"/>
      <c r="G1" s="2"/>
      <c r="H1" s="2"/>
      <c r="I1" s="3"/>
      <c r="J1" s="327" t="s">
        <v>116</v>
      </c>
      <c r="K1" s="327" t="s">
        <v>117</v>
      </c>
    </row>
    <row r="2" spans="1:11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  <c r="J2" s="326"/>
      <c r="K2" s="327" t="s">
        <v>28</v>
      </c>
    </row>
    <row r="3" spans="1:11" ht="13.5" thickTop="1">
      <c r="A3" s="29" t="s">
        <v>24</v>
      </c>
      <c r="B3" s="50">
        <v>0.001</v>
      </c>
      <c r="C3" s="31" t="s">
        <v>25</v>
      </c>
      <c r="D3" s="2"/>
      <c r="E3" s="20">
        <f>IF(B8&gt;B4,"",2*ACOS(1-2*B8/B4))</f>
        <v>2.362000060641272</v>
      </c>
      <c r="F3" s="15"/>
      <c r="G3" s="2"/>
      <c r="H3" s="15"/>
      <c r="I3" s="36">
        <f>IF(G6&gt;H5,"",B8/B4)</f>
        <v>0.31</v>
      </c>
      <c r="J3" s="327" t="s">
        <v>36</v>
      </c>
      <c r="K3" s="327">
        <v>100</v>
      </c>
    </row>
    <row r="4" spans="1:11" ht="12.75">
      <c r="A4" s="30" t="s">
        <v>64</v>
      </c>
      <c r="B4" s="44">
        <v>1</v>
      </c>
      <c r="C4" s="6" t="s">
        <v>26</v>
      </c>
      <c r="D4" s="6" t="s">
        <v>65</v>
      </c>
      <c r="E4" s="84">
        <f>IF(B8&gt;B4,B4^2*3.1416/4,(E3-SIN(E3))*B4^2/8)</f>
        <v>0.20737629137332048</v>
      </c>
      <c r="F4" s="15"/>
      <c r="G4" s="331" t="s">
        <v>160</v>
      </c>
      <c r="H4" s="332">
        <f>IF(G6&gt;H5,"",I3^4*1.34+I3^3*-2.976+I3^2*2.672+I3*-0.923+0.888)</f>
        <v>0.7823663654</v>
      </c>
      <c r="J4" s="327" t="s">
        <v>118</v>
      </c>
      <c r="K4" s="327">
        <v>150</v>
      </c>
    </row>
    <row r="5" spans="1:11" ht="12.75">
      <c r="A5" s="30" t="s">
        <v>0</v>
      </c>
      <c r="B5" s="34" t="s">
        <v>0</v>
      </c>
      <c r="C5" s="6" t="s">
        <v>29</v>
      </c>
      <c r="D5" s="6" t="s">
        <v>66</v>
      </c>
      <c r="E5" s="84">
        <f>IF(B8&gt;B4,3.1416*B4,E3*B4/2)</f>
        <v>1.181000030320636</v>
      </c>
      <c r="F5" s="15"/>
      <c r="G5" s="15"/>
      <c r="H5" s="15"/>
      <c r="I5" s="7"/>
      <c r="J5" s="327" t="s">
        <v>12</v>
      </c>
      <c r="K5" s="327">
        <v>200</v>
      </c>
    </row>
    <row r="6" spans="1:11" ht="12.75">
      <c r="A6" s="30" t="s">
        <v>31</v>
      </c>
      <c r="B6" s="51">
        <v>0.013</v>
      </c>
      <c r="C6" s="6" t="s">
        <v>32</v>
      </c>
      <c r="D6" s="6" t="s">
        <v>33</v>
      </c>
      <c r="E6" s="84">
        <f>IF(B8&gt;B4,"EN CHARGE",SIN(E3/2)*B4)</f>
        <v>0.9249864863877743</v>
      </c>
      <c r="F6" s="15"/>
      <c r="G6" s="38">
        <f>F5</f>
        <v>0</v>
      </c>
      <c r="H6" s="15"/>
      <c r="I6" s="7"/>
      <c r="J6" s="327" t="s">
        <v>14</v>
      </c>
      <c r="K6" s="327">
        <v>250</v>
      </c>
    </row>
    <row r="7" spans="1:11" ht="12.75">
      <c r="A7" s="30"/>
      <c r="B7" s="34"/>
      <c r="C7" s="6" t="s">
        <v>26</v>
      </c>
      <c r="D7" s="6" t="s">
        <v>34</v>
      </c>
      <c r="E7" s="84">
        <f>E4/E5</f>
        <v>0.17559380698493188</v>
      </c>
      <c r="F7" s="15"/>
      <c r="G7" s="15"/>
      <c r="H7" s="15"/>
      <c r="I7" s="7"/>
      <c r="J7" s="327" t="s">
        <v>118</v>
      </c>
      <c r="K7" s="327">
        <v>300</v>
      </c>
    </row>
    <row r="8" spans="1:11" ht="12.75">
      <c r="A8" s="30" t="s">
        <v>35</v>
      </c>
      <c r="B8" s="83">
        <v>0.31</v>
      </c>
      <c r="C8" s="6" t="s">
        <v>36</v>
      </c>
      <c r="D8" s="6" t="s">
        <v>37</v>
      </c>
      <c r="E8" s="84">
        <f>IF(B8&gt;B4,"EN CHARGE",E4/E6)</f>
        <v>0.22419386058617927</v>
      </c>
      <c r="F8" s="15"/>
      <c r="G8" s="15"/>
      <c r="H8" s="5" t="s">
        <v>0</v>
      </c>
      <c r="I8" s="7"/>
      <c r="J8" s="327" t="s">
        <v>36</v>
      </c>
      <c r="K8" s="327">
        <v>375</v>
      </c>
    </row>
    <row r="9" spans="1:11" ht="12.75">
      <c r="A9" s="4"/>
      <c r="B9" s="34"/>
      <c r="C9" s="6" t="s">
        <v>17</v>
      </c>
      <c r="D9" s="5"/>
      <c r="E9" s="5"/>
      <c r="F9" s="15"/>
      <c r="G9" s="5"/>
      <c r="H9" s="5"/>
      <c r="I9" s="7"/>
      <c r="J9" s="327" t="s">
        <v>13</v>
      </c>
      <c r="K9" s="327">
        <v>450</v>
      </c>
    </row>
    <row r="10" spans="1:11" ht="12.75">
      <c r="A10" s="30" t="s">
        <v>67</v>
      </c>
      <c r="B10" s="44">
        <f>B6/H4</f>
        <v>0.01661625623866575</v>
      </c>
      <c r="C10" s="6" t="s">
        <v>39</v>
      </c>
      <c r="D10" s="5"/>
      <c r="E10" s="5"/>
      <c r="F10" s="15"/>
      <c r="G10" s="5"/>
      <c r="H10" s="5"/>
      <c r="I10" s="7"/>
      <c r="J10" s="327" t="s">
        <v>17</v>
      </c>
      <c r="K10" s="327">
        <v>525</v>
      </c>
    </row>
    <row r="11" spans="1:11" ht="12.75">
      <c r="A11" s="30" t="s">
        <v>38</v>
      </c>
      <c r="B11" s="44">
        <f>9810*E7*B3</f>
        <v>1.7225752465221817</v>
      </c>
      <c r="C11" s="6" t="s">
        <v>13</v>
      </c>
      <c r="D11" s="5"/>
      <c r="E11" s="5"/>
      <c r="F11" s="15"/>
      <c r="G11" s="5"/>
      <c r="H11" s="5"/>
      <c r="I11" s="47" t="s">
        <v>68</v>
      </c>
      <c r="J11" s="327" t="s">
        <v>39</v>
      </c>
      <c r="K11" s="327">
        <v>600</v>
      </c>
    </row>
    <row r="12" spans="1:11" ht="12.75">
      <c r="A12" s="4"/>
      <c r="B12" s="15"/>
      <c r="C12" s="15"/>
      <c r="D12" s="15"/>
      <c r="E12" s="15"/>
      <c r="F12" s="15"/>
      <c r="G12" s="15"/>
      <c r="H12" s="15"/>
      <c r="I12" s="47" t="s">
        <v>69</v>
      </c>
      <c r="J12" s="327" t="s">
        <v>13</v>
      </c>
      <c r="K12" s="327">
        <v>750</v>
      </c>
    </row>
    <row r="13" spans="1:11" ht="12.75">
      <c r="A13" s="9" t="s">
        <v>70</v>
      </c>
      <c r="B13" s="10"/>
      <c r="C13" s="5"/>
      <c r="D13" s="11" t="s">
        <v>41</v>
      </c>
      <c r="E13" s="11"/>
      <c r="F13" s="5"/>
      <c r="G13" s="11" t="s">
        <v>71</v>
      </c>
      <c r="H13" s="55"/>
      <c r="I13" s="54">
        <v>759</v>
      </c>
      <c r="J13" s="326"/>
      <c r="K13" s="327">
        <v>900</v>
      </c>
    </row>
    <row r="14" spans="1:11" ht="12.75">
      <c r="A14" s="4"/>
      <c r="B14" s="5"/>
      <c r="C14" s="5"/>
      <c r="D14" s="5"/>
      <c r="E14" s="5"/>
      <c r="F14" s="5"/>
      <c r="G14" s="5"/>
      <c r="H14" s="5" t="s">
        <v>0</v>
      </c>
      <c r="I14" s="25"/>
      <c r="J14" s="328" t="s">
        <v>0</v>
      </c>
      <c r="K14" s="327">
        <v>1020</v>
      </c>
    </row>
    <row r="15" spans="1:11" ht="12.75">
      <c r="A15" s="30" t="s">
        <v>43</v>
      </c>
      <c r="B15" s="324">
        <f>E4*E7^(2/3)*B3^0.5/B10</f>
        <v>0.12375574980859046</v>
      </c>
      <c r="C15" s="5"/>
      <c r="D15" s="34" t="s">
        <v>44</v>
      </c>
      <c r="E15" s="324">
        <f>(9.806*E4^3/E6)^0.5</f>
        <v>0.3074800235771571</v>
      </c>
      <c r="F15" s="5"/>
      <c r="G15" s="34" t="s">
        <v>72</v>
      </c>
      <c r="H15" s="96">
        <f>+I13/1000</f>
        <v>0.759</v>
      </c>
      <c r="I15" s="25"/>
      <c r="J15" s="326"/>
      <c r="K15" s="327">
        <v>1200</v>
      </c>
    </row>
    <row r="16" spans="1:11" ht="12.75">
      <c r="A16" s="30"/>
      <c r="B16" s="45"/>
      <c r="C16" s="5"/>
      <c r="D16" s="34" t="s">
        <v>73</v>
      </c>
      <c r="E16" s="49">
        <f>B10^2*9.806*E8/E7^(4/3)</f>
        <v>0.006173096126513982</v>
      </c>
      <c r="F16" s="5"/>
      <c r="G16" s="56" t="s">
        <v>74</v>
      </c>
      <c r="H16" s="53">
        <v>1000</v>
      </c>
      <c r="I16" s="25"/>
      <c r="J16" s="326"/>
      <c r="K16" s="327">
        <v>1500</v>
      </c>
    </row>
    <row r="17" spans="1:11" ht="12.75">
      <c r="A17" s="30" t="s">
        <v>47</v>
      </c>
      <c r="B17" s="44">
        <f>B15/E4</f>
        <v>0.5967690375261092</v>
      </c>
      <c r="C17" s="5"/>
      <c r="D17" s="34" t="s">
        <v>48</v>
      </c>
      <c r="E17" s="44">
        <f>E15/E4</f>
        <v>1.4827154133238358</v>
      </c>
      <c r="F17" s="5"/>
      <c r="G17" s="34" t="s">
        <v>75</v>
      </c>
      <c r="H17" s="44">
        <f>H15/E4</f>
        <v>3.6600133745937335</v>
      </c>
      <c r="I17" s="25"/>
      <c r="J17" s="326"/>
      <c r="K17" s="327">
        <v>1800</v>
      </c>
    </row>
    <row r="18" spans="1:11" ht="12.75">
      <c r="A18" s="30" t="s">
        <v>76</v>
      </c>
      <c r="B18" s="44">
        <f>B8+B17^2/2/9.806</f>
        <v>0.3281589477947093</v>
      </c>
      <c r="C18" s="5"/>
      <c r="D18" s="34" t="s">
        <v>76</v>
      </c>
      <c r="E18" s="44">
        <f>B8+E17^2/2/9.806</f>
        <v>0.4220969302930896</v>
      </c>
      <c r="F18" s="5"/>
      <c r="G18" s="34" t="str">
        <f>IF(G6&gt;H5,"","Es  = ( m )")</f>
        <v>Es  = ( m )</v>
      </c>
      <c r="H18" s="44">
        <f>IF(G6&gt;H5,"",B8+H17^2/2/9.806)</f>
        <v>0.9930357894250974</v>
      </c>
      <c r="I18" s="25" t="s">
        <v>0</v>
      </c>
      <c r="J18" s="326"/>
      <c r="K18" s="327">
        <v>2100</v>
      </c>
    </row>
    <row r="19" spans="1:9" ht="13.5" thickBot="1">
      <c r="A19" s="33" t="s">
        <v>77</v>
      </c>
      <c r="B19" s="46">
        <f>B15/E4/(9.806*E8)^0.5</f>
        <v>0.40248386990752244</v>
      </c>
      <c r="C19" s="5"/>
      <c r="D19" s="35" t="s">
        <v>77</v>
      </c>
      <c r="E19" s="46">
        <f>E15/E4/(9.806*E8)^0.5</f>
        <v>0.9999999999999999</v>
      </c>
      <c r="F19" s="13"/>
      <c r="G19" s="35">
        <f>IF(G6&lt;H5,"Fr  =","")</f>
      </c>
      <c r="H19" s="46">
        <f>IF(G6&lt;H5,H15/E4/(9.806*E8)^0.5,"")</f>
      </c>
      <c r="I19" s="48"/>
    </row>
    <row r="20" spans="1:9" ht="13.5" thickTop="1">
      <c r="A20" s="1" t="s">
        <v>1</v>
      </c>
      <c r="B20" s="3"/>
      <c r="C20" s="21" t="s">
        <v>2</v>
      </c>
      <c r="D20" s="22"/>
      <c r="E20" s="23"/>
      <c r="F20" s="42" t="s">
        <v>0</v>
      </c>
      <c r="G20" s="43"/>
      <c r="H20" s="43"/>
      <c r="I20" s="3"/>
    </row>
    <row r="21" spans="1:9" ht="12.75">
      <c r="A21" s="4" t="s">
        <v>3</v>
      </c>
      <c r="B21" s="7"/>
      <c r="C21" s="8" t="s">
        <v>52</v>
      </c>
      <c r="D21" s="24"/>
      <c r="E21" s="25"/>
      <c r="F21" s="30" t="s">
        <v>162</v>
      </c>
      <c r="G21" s="45">
        <f>(H15*B6/0.3117/B4^(8/3))^2*H16+0.81057*H15^2*I21/B4^4/9.806</f>
        <v>1.9544509559103624</v>
      </c>
      <c r="H21" s="333" t="s">
        <v>161</v>
      </c>
      <c r="I21" s="113">
        <v>20</v>
      </c>
    </row>
    <row r="22" spans="1:9" ht="13.5" thickBot="1">
      <c r="A22" s="12" t="s">
        <v>5</v>
      </c>
      <c r="B22" s="14"/>
      <c r="C22" s="26" t="s">
        <v>6</v>
      </c>
      <c r="D22" s="27"/>
      <c r="E22" s="28"/>
      <c r="F22" s="35" t="str">
        <f>IF(B8&gt;B4,"","V²/2g = ( m )")</f>
        <v>V²/2g = ( m )</v>
      </c>
      <c r="G22" s="46">
        <f>H17^2/2/9.806</f>
        <v>0.6830357894250975</v>
      </c>
      <c r="H22" s="35">
        <f>IF(I6&gt;J2," J = ( m )","")</f>
      </c>
      <c r="I22" s="57" t="s">
        <v>0</v>
      </c>
    </row>
    <row r="23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60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11.140625" style="0" customWidth="1"/>
    <col min="2" max="2" width="10.28125" style="0" customWidth="1"/>
    <col min="3" max="3" width="10.140625" style="0" customWidth="1"/>
    <col min="4" max="4" width="8.28125" style="0" customWidth="1"/>
    <col min="5" max="5" width="12.00390625" style="0" customWidth="1"/>
    <col min="6" max="6" width="10.140625" style="0" customWidth="1"/>
    <col min="7" max="7" width="8.421875" style="0" customWidth="1"/>
    <col min="8" max="8" width="9.00390625" style="0" customWidth="1"/>
    <col min="9" max="9" width="8.421875" style="0" customWidth="1"/>
    <col min="10" max="10" width="11.421875" style="150" customWidth="1"/>
    <col min="11" max="11" width="9.8515625" style="0" customWidth="1"/>
    <col min="12" max="12" width="13.00390625" style="81" customWidth="1"/>
    <col min="13" max="14" width="11.421875" style="81" customWidth="1"/>
    <col min="15" max="16384" width="0" style="0" hidden="1" customWidth="1"/>
  </cols>
  <sheetData>
    <row r="1" spans="1:14" ht="18.75" thickTop="1">
      <c r="A1" s="109" t="s">
        <v>155</v>
      </c>
      <c r="B1" s="88"/>
      <c r="C1" s="17"/>
      <c r="D1" s="22"/>
      <c r="E1" s="115"/>
      <c r="F1" s="5"/>
      <c r="G1" s="5"/>
      <c r="H1" s="5"/>
      <c r="I1" s="5"/>
      <c r="J1" s="148"/>
      <c r="K1" s="15"/>
      <c r="L1" s="110"/>
      <c r="M1" s="110"/>
      <c r="N1" s="110"/>
    </row>
    <row r="2" spans="1:14" ht="13.5" thickBot="1">
      <c r="A2" s="40" t="s">
        <v>148</v>
      </c>
      <c r="B2" s="18"/>
      <c r="C2" s="18"/>
      <c r="D2" s="18"/>
      <c r="E2" s="19"/>
      <c r="F2" s="5"/>
      <c r="G2" s="5"/>
      <c r="H2" s="5"/>
      <c r="I2" s="5"/>
      <c r="J2" s="148"/>
      <c r="K2" s="15"/>
      <c r="L2" s="110"/>
      <c r="M2" s="110"/>
      <c r="N2" s="110"/>
    </row>
    <row r="3" spans="1:14" ht="13.5" thickTop="1">
      <c r="A3" s="1" t="s">
        <v>1</v>
      </c>
      <c r="B3" s="3"/>
      <c r="C3" s="21" t="s">
        <v>2</v>
      </c>
      <c r="D3" s="22"/>
      <c r="E3" s="22"/>
      <c r="F3" s="4"/>
      <c r="G3" s="5"/>
      <c r="H3" s="5"/>
      <c r="I3" s="5"/>
      <c r="J3" s="148"/>
      <c r="K3" s="15"/>
      <c r="L3" s="110"/>
      <c r="M3" s="110"/>
      <c r="N3" s="110"/>
    </row>
    <row r="4" spans="1:14" ht="12.75">
      <c r="A4" s="4" t="s">
        <v>3</v>
      </c>
      <c r="B4" s="7"/>
      <c r="C4" s="8" t="s">
        <v>53</v>
      </c>
      <c r="D4" s="24"/>
      <c r="E4" s="24"/>
      <c r="F4" s="4" t="s">
        <v>0</v>
      </c>
      <c r="G4" s="5"/>
      <c r="H4" s="5"/>
      <c r="I4" s="5"/>
      <c r="J4" s="148"/>
      <c r="K4" s="15"/>
      <c r="L4" s="110"/>
      <c r="M4" s="110"/>
      <c r="N4" s="110"/>
    </row>
    <row r="5" spans="1:14" ht="13.5" thickBot="1">
      <c r="A5" s="12" t="s">
        <v>5</v>
      </c>
      <c r="B5" s="14"/>
      <c r="C5" s="26" t="s">
        <v>6</v>
      </c>
      <c r="D5" s="27"/>
      <c r="E5" s="28"/>
      <c r="F5" s="5"/>
      <c r="G5" s="5"/>
      <c r="H5" s="5"/>
      <c r="I5" s="5"/>
      <c r="J5" s="148"/>
      <c r="K5" s="15"/>
      <c r="L5" s="110"/>
      <c r="M5" s="110"/>
      <c r="N5" s="110"/>
    </row>
    <row r="6" spans="1:14" ht="13.5" thickTop="1">
      <c r="A6" s="117" t="s">
        <v>24</v>
      </c>
      <c r="B6" s="50">
        <v>0.001</v>
      </c>
      <c r="C6" s="31" t="s">
        <v>54</v>
      </c>
      <c r="D6" s="144">
        <v>0.1</v>
      </c>
      <c r="E6" s="20"/>
      <c r="F6" s="59"/>
      <c r="G6" s="5"/>
      <c r="H6" s="59"/>
      <c r="I6" s="5"/>
      <c r="J6" s="148"/>
      <c r="K6" s="15"/>
      <c r="L6" s="110"/>
      <c r="M6" s="110"/>
      <c r="N6" s="110"/>
    </row>
    <row r="7" spans="1:14" ht="12.75">
      <c r="A7" s="34" t="s">
        <v>64</v>
      </c>
      <c r="B7" s="61">
        <v>1</v>
      </c>
      <c r="C7" s="6" t="s">
        <v>55</v>
      </c>
      <c r="D7" s="95">
        <v>1.2</v>
      </c>
      <c r="E7" s="15"/>
      <c r="F7" s="59"/>
      <c r="G7" s="15"/>
      <c r="H7" s="59"/>
      <c r="I7" s="5"/>
      <c r="J7" s="148"/>
      <c r="K7" s="15"/>
      <c r="L7" s="110"/>
      <c r="M7" s="110"/>
      <c r="N7" s="110"/>
    </row>
    <row r="8" spans="1:14" ht="12.75">
      <c r="A8" s="34" t="s">
        <v>78</v>
      </c>
      <c r="B8" s="51">
        <v>0.013</v>
      </c>
      <c r="C8" s="6" t="s">
        <v>57</v>
      </c>
      <c r="D8" s="94" t="str">
        <f>IF(D6&lt;D7,"raide","douce")</f>
        <v>raide</v>
      </c>
      <c r="E8" s="15"/>
      <c r="F8" s="99"/>
      <c r="G8" s="15"/>
      <c r="H8" s="5"/>
      <c r="I8" s="5"/>
      <c r="J8" s="148"/>
      <c r="K8" s="15"/>
      <c r="L8" s="110"/>
      <c r="M8" s="110"/>
      <c r="N8" s="110"/>
    </row>
    <row r="9" spans="1:14" ht="12.75">
      <c r="A9" s="34" t="s">
        <v>0</v>
      </c>
      <c r="B9" s="114">
        <f>B8^4*1.34+B8^3*-2.976+B8^2*2.672+B8*-0.923+0.888</f>
        <v>0.87644606799974</v>
      </c>
      <c r="C9" s="6"/>
      <c r="D9" s="6"/>
      <c r="E9" s="15"/>
      <c r="F9" s="100"/>
      <c r="G9" s="59"/>
      <c r="H9" s="100"/>
      <c r="I9" s="100"/>
      <c r="J9" s="148"/>
      <c r="K9" s="15"/>
      <c r="L9" s="110"/>
      <c r="M9" s="110"/>
      <c r="N9" s="110"/>
    </row>
    <row r="10" spans="1:14" ht="12.75">
      <c r="A10" s="34" t="s">
        <v>0</v>
      </c>
      <c r="B10" s="34"/>
      <c r="C10" s="6"/>
      <c r="D10" s="6"/>
      <c r="E10" s="102"/>
      <c r="F10" s="5"/>
      <c r="G10" s="15"/>
      <c r="H10" s="5"/>
      <c r="I10" s="5"/>
      <c r="J10" s="148"/>
      <c r="K10" s="15"/>
      <c r="L10" s="110"/>
      <c r="M10" s="110"/>
      <c r="N10" s="110"/>
    </row>
    <row r="11" spans="1:14" ht="12.75">
      <c r="A11" s="34" t="s">
        <v>58</v>
      </c>
      <c r="B11" s="61">
        <v>0.31</v>
      </c>
      <c r="C11" s="6"/>
      <c r="D11" s="6"/>
      <c r="E11" s="102"/>
      <c r="F11" s="5"/>
      <c r="G11" s="15" t="s">
        <v>0</v>
      </c>
      <c r="H11" s="5"/>
      <c r="I11" s="5"/>
      <c r="J11" s="148"/>
      <c r="K11" s="15"/>
      <c r="L11" s="110"/>
      <c r="M11" s="110"/>
      <c r="N11" s="110"/>
    </row>
    <row r="12" spans="1:14" ht="12.75">
      <c r="A12" s="15"/>
      <c r="B12" s="15"/>
      <c r="C12" s="98" t="s">
        <v>0</v>
      </c>
      <c r="D12" s="5"/>
      <c r="E12" s="5"/>
      <c r="F12" s="5"/>
      <c r="G12" s="6"/>
      <c r="H12" s="6"/>
      <c r="I12" s="102"/>
      <c r="J12" s="148"/>
      <c r="K12" s="15"/>
      <c r="L12" s="110"/>
      <c r="M12" s="110"/>
      <c r="N12" s="110"/>
    </row>
    <row r="13" spans="1:14" ht="12.75">
      <c r="A13" s="34" t="s">
        <v>8</v>
      </c>
      <c r="B13" s="61">
        <v>0.99</v>
      </c>
      <c r="C13" s="6"/>
      <c r="D13" s="6"/>
      <c r="E13" s="5"/>
      <c r="F13" s="5"/>
      <c r="G13" s="6"/>
      <c r="H13" s="6"/>
      <c r="I13" s="102"/>
      <c r="J13" s="148"/>
      <c r="K13" s="15"/>
      <c r="L13" s="110"/>
      <c r="M13" s="110"/>
      <c r="N13" s="110"/>
    </row>
    <row r="14" spans="1:14" ht="12.75">
      <c r="A14" s="34" t="s">
        <v>10</v>
      </c>
      <c r="B14" s="151">
        <v>-0.05</v>
      </c>
      <c r="C14" s="6"/>
      <c r="D14" s="5"/>
      <c r="E14" s="5"/>
      <c r="F14" s="5"/>
      <c r="G14" s="6"/>
      <c r="H14" s="6"/>
      <c r="I14" s="102"/>
      <c r="J14" s="148"/>
      <c r="K14" s="15"/>
      <c r="L14" s="110"/>
      <c r="M14" s="110"/>
      <c r="N14" s="110"/>
    </row>
    <row r="15" spans="1:14" ht="12.75">
      <c r="A15" s="118"/>
      <c r="B15" s="157"/>
      <c r="C15" s="5"/>
      <c r="D15" s="98"/>
      <c r="E15" s="98"/>
      <c r="F15" s="5"/>
      <c r="G15" s="6"/>
      <c r="H15" s="6"/>
      <c r="I15" s="102"/>
      <c r="J15" s="148"/>
      <c r="K15" s="15"/>
      <c r="L15" s="110"/>
      <c r="M15" s="110"/>
      <c r="N15" s="110"/>
    </row>
    <row r="16" spans="1:14" ht="12.75">
      <c r="A16" s="106" t="s">
        <v>59</v>
      </c>
      <c r="B16" s="107" t="s">
        <v>60</v>
      </c>
      <c r="C16" s="107" t="s">
        <v>20</v>
      </c>
      <c r="D16" s="107" t="s">
        <v>61</v>
      </c>
      <c r="E16" s="106" t="s">
        <v>62</v>
      </c>
      <c r="F16" s="107" t="s">
        <v>14</v>
      </c>
      <c r="G16" s="108" t="s">
        <v>15</v>
      </c>
      <c r="H16" s="107" t="s">
        <v>16</v>
      </c>
      <c r="I16" s="107" t="s">
        <v>19</v>
      </c>
      <c r="J16" s="106" t="s">
        <v>13</v>
      </c>
      <c r="K16" s="107" t="s">
        <v>79</v>
      </c>
      <c r="L16" s="107" t="s">
        <v>80</v>
      </c>
      <c r="M16" s="107" t="s">
        <v>81</v>
      </c>
      <c r="N16" s="15"/>
    </row>
    <row r="17" spans="1:14" ht="12.75">
      <c r="A17" s="100" t="s">
        <v>63</v>
      </c>
      <c r="B17" s="59" t="s">
        <v>63</v>
      </c>
      <c r="C17" s="5"/>
      <c r="D17" s="34"/>
      <c r="E17" s="101" t="s">
        <v>63</v>
      </c>
      <c r="F17" s="59" t="s">
        <v>22</v>
      </c>
      <c r="G17" s="100" t="s">
        <v>21</v>
      </c>
      <c r="H17" s="111" t="s">
        <v>21</v>
      </c>
      <c r="I17" s="110" t="s">
        <v>23</v>
      </c>
      <c r="J17" s="145" t="s">
        <v>21</v>
      </c>
      <c r="K17" s="110" t="s">
        <v>82</v>
      </c>
      <c r="L17" s="110"/>
      <c r="M17" s="59"/>
      <c r="N17" s="15"/>
    </row>
    <row r="18" spans="1:14" ht="12.75">
      <c r="A18" s="104">
        <v>0</v>
      </c>
      <c r="B18" s="103">
        <f>$B$13</f>
        <v>0.99</v>
      </c>
      <c r="C18" s="104">
        <f>($B$11^2*H18/9.806/F18^3)^0.5</f>
        <v>0.06360748967003824</v>
      </c>
      <c r="D18" s="105">
        <f>$B$11^2*($B$8/M18)^2/F18^2/(F18/G18)^(4/3)</f>
        <v>0.00015398328239527527</v>
      </c>
      <c r="E18" s="104"/>
      <c r="F18" s="103">
        <f>(K18-SIN(K18))*$B$7^2/8</f>
        <v>0.7840688372348927</v>
      </c>
      <c r="G18" s="104">
        <f>K18*$B$7/2</f>
        <v>2.9412578112666736</v>
      </c>
      <c r="H18" s="104">
        <f>SIN(K18/2)*$B$7</f>
        <v>0.198997487421324</v>
      </c>
      <c r="I18" s="112">
        <f>$B$11/F18</f>
        <v>0.39537344845032996</v>
      </c>
      <c r="J18" s="146">
        <f>B18+I18^2/2/9.806</f>
        <v>0.9979706385753369</v>
      </c>
      <c r="K18" s="119">
        <f>2*ACOS(1-2*B18/$B$7)</f>
        <v>5.882515622533347</v>
      </c>
      <c r="L18" s="120">
        <f>B18/$B$7</f>
        <v>0.99</v>
      </c>
      <c r="M18" s="104">
        <v>1</v>
      </c>
      <c r="N18" s="15"/>
    </row>
    <row r="19" spans="1:14" ht="12.75">
      <c r="A19" s="104">
        <f>A18+E19</f>
        <v>-58.32730986974755</v>
      </c>
      <c r="B19" s="103">
        <f>B18+$B$14</f>
        <v>0.94</v>
      </c>
      <c r="C19" s="104">
        <f>($B$11^2*H19/9.806/F19^3)^0.5</f>
        <v>0.10173544663531027</v>
      </c>
      <c r="D19" s="105">
        <f>$B$11^2*($B$8/M19)^2/F19^2/(F19/G19)^(4/3)</f>
        <v>0.0001444811693976082</v>
      </c>
      <c r="E19" s="112">
        <f>(J19-J18)/($B$6-(D18+D19)/2)</f>
        <v>-58.32730986974755</v>
      </c>
      <c r="F19" s="103">
        <f>(K19-SIN(K19))*$B$7^2/8</f>
        <v>0.7661588421781581</v>
      </c>
      <c r="G19" s="104">
        <f>K19*$B$7/2</f>
        <v>2.6466585272488974</v>
      </c>
      <c r="H19" s="104">
        <f>SIN(K19/2)*$B$7</f>
        <v>0.474973683481517</v>
      </c>
      <c r="I19" s="112">
        <f>$B$11/F19</f>
        <v>0.40461583543000396</v>
      </c>
      <c r="J19" s="146">
        <f>B19+I19^2/2/9.806</f>
        <v>0.9483476429880032</v>
      </c>
      <c r="K19" s="119">
        <f>2*ACOS(1-2*B19/$B$7)</f>
        <v>5.293317054497795</v>
      </c>
      <c r="L19" s="112">
        <f>B19/$B$7</f>
        <v>0.94</v>
      </c>
      <c r="M19" s="104">
        <v>1</v>
      </c>
      <c r="N19" s="15"/>
    </row>
    <row r="20" spans="1:14" ht="12.75">
      <c r="A20" s="104">
        <f aca="true" t="shared" si="0" ref="A20:A29">A19+E20</f>
        <v>-117.017325018594</v>
      </c>
      <c r="B20" s="103">
        <f aca="true" t="shared" si="1" ref="B20:B29">B19+$B$14</f>
        <v>0.8899999999999999</v>
      </c>
      <c r="C20" s="104">
        <f aca="true" t="shared" si="2" ref="C20:C29">($B$11^2*H20/9.806/F20^3)^0.5</f>
        <v>0.12342282099090666</v>
      </c>
      <c r="D20" s="105">
        <f aca="true" t="shared" si="3" ref="D20:D29">$B$11^2*($B$8/M20)^2/F20^2/(F20/G20)^(4/3)</f>
        <v>0.00017344765568674255</v>
      </c>
      <c r="E20" s="112">
        <f aca="true" t="shared" si="4" ref="E20:E29">(J20-J19)/($B$6-(D19+D20)/2)</f>
        <v>-58.69001514884644</v>
      </c>
      <c r="F20" s="103">
        <f aca="true" t="shared" si="5" ref="F20:F29">(K20-SIN(K20))*$B$7^2/8</f>
        <v>0.7383925412151466</v>
      </c>
      <c r="G20" s="104">
        <f aca="true" t="shared" si="6" ref="G20:G29">K20*$B$7/2</f>
        <v>2.4654621440291313</v>
      </c>
      <c r="H20" s="104">
        <f aca="true" t="shared" si="7" ref="H20:H29">SIN(K20/2)*$B$7</f>
        <v>0.625779513886481</v>
      </c>
      <c r="I20" s="112">
        <f aca="true" t="shared" si="8" ref="I20:I29">$B$11/F20</f>
        <v>0.41983089305025195</v>
      </c>
      <c r="J20" s="146">
        <f aca="true" t="shared" si="9" ref="J20:J29">B20+I20^2/2/9.806</f>
        <v>0.8989872516193845</v>
      </c>
      <c r="K20" s="119">
        <f aca="true" t="shared" si="10" ref="K20:K29">2*ACOS(1-2*B20/$B$7)</f>
        <v>4.930924288058263</v>
      </c>
      <c r="L20" s="112">
        <f aca="true" t="shared" si="11" ref="L20:L29">B20/$B$7</f>
        <v>0.8899999999999999</v>
      </c>
      <c r="M20" s="104">
        <f aca="true" t="shared" si="12" ref="M20:M29">L20^4*1.34+L20^3*-2.976+L20^2*2.672+L20*-0.923+0.888</f>
        <v>0.9257794854</v>
      </c>
      <c r="N20" s="15"/>
    </row>
    <row r="21" spans="1:14" ht="12.75">
      <c r="A21" s="104">
        <f t="shared" si="0"/>
        <v>-177.30415298589523</v>
      </c>
      <c r="B21" s="103">
        <f t="shared" si="1"/>
        <v>0.8399999999999999</v>
      </c>
      <c r="C21" s="104">
        <f t="shared" si="2"/>
        <v>0.14341915747802175</v>
      </c>
      <c r="D21" s="105">
        <f t="shared" si="3"/>
        <v>0.00019739168481085583</v>
      </c>
      <c r="E21" s="112">
        <f t="shared" si="4"/>
        <v>-60.28682796730124</v>
      </c>
      <c r="F21" s="103">
        <f t="shared" si="5"/>
        <v>0.704285799266503</v>
      </c>
      <c r="G21" s="104">
        <f t="shared" si="6"/>
        <v>2.3185589614548165</v>
      </c>
      <c r="H21" s="104">
        <f t="shared" si="7"/>
        <v>0.7332121111929348</v>
      </c>
      <c r="I21" s="112">
        <f t="shared" si="8"/>
        <v>0.44016221869425404</v>
      </c>
      <c r="J21" s="146">
        <f t="shared" si="9"/>
        <v>0.8498787874141264</v>
      </c>
      <c r="K21" s="119">
        <f t="shared" si="10"/>
        <v>4.637117922909633</v>
      </c>
      <c r="L21" s="112">
        <f t="shared" si="11"/>
        <v>0.8399999999999999</v>
      </c>
      <c r="M21" s="104">
        <f t="shared" si="12"/>
        <v>0.9013037184000003</v>
      </c>
      <c r="N21" s="15"/>
    </row>
    <row r="22" spans="1:14" ht="12.75">
      <c r="A22" s="104">
        <f t="shared" si="0"/>
        <v>-239.4310960701641</v>
      </c>
      <c r="B22" s="103">
        <f t="shared" si="1"/>
        <v>0.7899999999999998</v>
      </c>
      <c r="C22" s="104">
        <f t="shared" si="2"/>
        <v>0.16457718302010702</v>
      </c>
      <c r="D22" s="105">
        <f t="shared" si="3"/>
        <v>0.00023114900329265526</v>
      </c>
      <c r="E22" s="112">
        <f t="shared" si="4"/>
        <v>-62.12694308426888</v>
      </c>
      <c r="F22" s="103">
        <f t="shared" si="5"/>
        <v>0.6655006431224014</v>
      </c>
      <c r="G22" s="104">
        <f t="shared" si="6"/>
        <v>2.1895250174671474</v>
      </c>
      <c r="H22" s="104">
        <f t="shared" si="7"/>
        <v>0.8146164741766522</v>
      </c>
      <c r="I22" s="112">
        <f t="shared" si="8"/>
        <v>0.4658147264073847</v>
      </c>
      <c r="J22" s="146">
        <f t="shared" si="9"/>
        <v>0.8010638057994076</v>
      </c>
      <c r="K22" s="119">
        <f t="shared" si="10"/>
        <v>4.379050034934295</v>
      </c>
      <c r="L22" s="112">
        <f t="shared" si="11"/>
        <v>0.7899999999999998</v>
      </c>
      <c r="M22" s="104">
        <f t="shared" si="12"/>
        <v>0.8810722213999999</v>
      </c>
      <c r="N22" s="15"/>
    </row>
    <row r="23" spans="1:14" ht="12.75">
      <c r="A23" s="104">
        <f t="shared" si="0"/>
        <v>-304.41792672532057</v>
      </c>
      <c r="B23" s="103">
        <f t="shared" si="1"/>
        <v>0.7399999999999998</v>
      </c>
      <c r="C23" s="104">
        <f t="shared" si="2"/>
        <v>0.18849889945397005</v>
      </c>
      <c r="D23" s="105">
        <f t="shared" si="3"/>
        <v>0.0002779505222120364</v>
      </c>
      <c r="E23" s="112">
        <f t="shared" si="4"/>
        <v>-64.98683065515645</v>
      </c>
      <c r="F23" s="103">
        <f t="shared" si="5"/>
        <v>0.6231349783572853</v>
      </c>
      <c r="G23" s="104">
        <f t="shared" si="6"/>
        <v>2.0714510391994843</v>
      </c>
      <c r="H23" s="104">
        <f t="shared" si="7"/>
        <v>0.8772684879784526</v>
      </c>
      <c r="I23" s="112">
        <f t="shared" si="8"/>
        <v>0.4974845110079122</v>
      </c>
      <c r="J23" s="146">
        <f t="shared" si="9"/>
        <v>0.7526193574695481</v>
      </c>
      <c r="K23" s="119">
        <f t="shared" si="10"/>
        <v>4.1429020783989685</v>
      </c>
      <c r="L23" s="112">
        <f t="shared" si="11"/>
        <v>0.7399999999999998</v>
      </c>
      <c r="M23" s="104">
        <f t="shared" si="12"/>
        <v>0.8640406943999999</v>
      </c>
      <c r="N23" s="15"/>
    </row>
    <row r="24" spans="1:14" ht="12.75">
      <c r="A24" s="104">
        <f t="shared" si="0"/>
        <v>-373.98312986978596</v>
      </c>
      <c r="B24" s="103">
        <f t="shared" si="1"/>
        <v>0.6899999999999997</v>
      </c>
      <c r="C24" s="104">
        <f t="shared" si="2"/>
        <v>0.2166541613373763</v>
      </c>
      <c r="D24" s="105">
        <f t="shared" si="3"/>
        <v>0.00034339140902725653</v>
      </c>
      <c r="E24" s="112">
        <f t="shared" si="4"/>
        <v>-69.56520314446539</v>
      </c>
      <c r="F24" s="103">
        <f t="shared" si="5"/>
        <v>0.5780218720241275</v>
      </c>
      <c r="G24" s="104">
        <f t="shared" si="6"/>
        <v>1.9605926232691564</v>
      </c>
      <c r="H24" s="104">
        <f t="shared" si="7"/>
        <v>0.9249864863877745</v>
      </c>
      <c r="I24" s="112">
        <f t="shared" si="8"/>
        <v>0.5363118854212842</v>
      </c>
      <c r="J24" s="146">
        <f t="shared" si="9"/>
        <v>0.7046660431595007</v>
      </c>
      <c r="K24" s="119">
        <f t="shared" si="10"/>
        <v>3.921185246538313</v>
      </c>
      <c r="L24" s="112">
        <f t="shared" si="11"/>
        <v>0.6899999999999997</v>
      </c>
      <c r="M24" s="104">
        <f t="shared" si="12"/>
        <v>0.8493658374</v>
      </c>
      <c r="N24" s="15"/>
    </row>
    <row r="25" spans="1:14" ht="12.75">
      <c r="A25" s="104">
        <f t="shared" si="0"/>
        <v>-451.4946902764908</v>
      </c>
      <c r="B25" s="103">
        <f t="shared" si="1"/>
        <v>0.6399999999999997</v>
      </c>
      <c r="C25" s="104">
        <f t="shared" si="2"/>
        <v>0.25078211892057545</v>
      </c>
      <c r="D25" s="105">
        <f t="shared" si="3"/>
        <v>0.00043672456760981943</v>
      </c>
      <c r="E25" s="112">
        <f t="shared" si="4"/>
        <v>-77.51156040670485</v>
      </c>
      <c r="F25" s="103">
        <f t="shared" si="5"/>
        <v>0.5308476090008057</v>
      </c>
      <c r="G25" s="104">
        <f t="shared" si="6"/>
        <v>1.8545904360032237</v>
      </c>
      <c r="H25" s="104">
        <f t="shared" si="7"/>
        <v>0.9600000000000002</v>
      </c>
      <c r="I25" s="112">
        <f t="shared" si="8"/>
        <v>0.5839717364150914</v>
      </c>
      <c r="J25" s="146">
        <f t="shared" si="9"/>
        <v>0.6573884860764659</v>
      </c>
      <c r="K25" s="119">
        <f t="shared" si="10"/>
        <v>3.7091808720064474</v>
      </c>
      <c r="L25" s="112">
        <f t="shared" si="11"/>
        <v>0.6399999999999997</v>
      </c>
      <c r="M25" s="104">
        <f t="shared" si="12"/>
        <v>0.8364053504</v>
      </c>
      <c r="N25" s="15"/>
    </row>
    <row r="26" spans="1:14" ht="12.75">
      <c r="A26" s="104">
        <f t="shared" si="0"/>
        <v>-545.0803347310043</v>
      </c>
      <c r="B26" s="103">
        <f t="shared" si="1"/>
        <v>0.5899999999999996</v>
      </c>
      <c r="C26" s="104">
        <f t="shared" si="2"/>
        <v>0.2932138367425711</v>
      </c>
      <c r="D26" s="105">
        <f t="shared" si="3"/>
        <v>0.000573478006055681</v>
      </c>
      <c r="E26" s="112">
        <f t="shared" si="4"/>
        <v>-93.58564445451356</v>
      </c>
      <c r="F26" s="103">
        <f t="shared" si="5"/>
        <v>0.48221069196884925</v>
      </c>
      <c r="G26" s="104">
        <f t="shared" si="6"/>
        <v>1.7517827780414434</v>
      </c>
      <c r="H26" s="104">
        <f t="shared" si="7"/>
        <v>0.9836666101886351</v>
      </c>
      <c r="I26" s="112">
        <f t="shared" si="8"/>
        <v>0.6428725143656209</v>
      </c>
      <c r="J26" s="146">
        <f t="shared" si="9"/>
        <v>0.6110730710649994</v>
      </c>
      <c r="K26" s="119">
        <f t="shared" si="10"/>
        <v>3.503565556082887</v>
      </c>
      <c r="L26" s="112">
        <f t="shared" si="11"/>
        <v>0.5899999999999996</v>
      </c>
      <c r="M26" s="104">
        <f t="shared" si="12"/>
        <v>0.8247179334000001</v>
      </c>
      <c r="N26" s="15"/>
    </row>
    <row r="27" spans="1:14" ht="12.75">
      <c r="A27" s="104">
        <f t="shared" si="0"/>
        <v>-684.098787176508</v>
      </c>
      <c r="B27" s="103">
        <f t="shared" si="1"/>
        <v>0.5399999999999996</v>
      </c>
      <c r="C27" s="104">
        <f t="shared" si="2"/>
        <v>0.34729936221972185</v>
      </c>
      <c r="D27" s="105">
        <f t="shared" si="3"/>
        <v>0.0007806171306379628</v>
      </c>
      <c r="E27" s="112">
        <f t="shared" si="4"/>
        <v>-139.01845244550375</v>
      </c>
      <c r="F27" s="103">
        <f t="shared" si="5"/>
        <v>0.43265637397814183</v>
      </c>
      <c r="G27" s="104">
        <f t="shared" si="6"/>
        <v>1.6508819068285547</v>
      </c>
      <c r="H27" s="104">
        <f t="shared" si="7"/>
        <v>0.9967948635501691</v>
      </c>
      <c r="I27" s="112">
        <f t="shared" si="8"/>
        <v>0.7165039478088481</v>
      </c>
      <c r="J27" s="146">
        <f t="shared" si="9"/>
        <v>0.5661767238030623</v>
      </c>
      <c r="K27" s="119">
        <f t="shared" si="10"/>
        <v>3.3017638136571095</v>
      </c>
      <c r="L27" s="112">
        <f t="shared" si="11"/>
        <v>0.5399999999999996</v>
      </c>
      <c r="M27" s="104">
        <f t="shared" si="12"/>
        <v>0.8140632864</v>
      </c>
      <c r="N27" s="15"/>
    </row>
    <row r="28" spans="1:14" ht="12.75">
      <c r="A28" s="104">
        <f t="shared" si="0"/>
        <v>-1445.413783753549</v>
      </c>
      <c r="B28" s="103">
        <f t="shared" si="1"/>
        <v>0.4899999999999996</v>
      </c>
      <c r="C28" s="104">
        <f t="shared" si="2"/>
        <v>0.4181046967329724</v>
      </c>
      <c r="D28" s="105">
        <f t="shared" si="3"/>
        <v>0.0011071563500950473</v>
      </c>
      <c r="E28" s="112">
        <f t="shared" si="4"/>
        <v>-761.314996577041</v>
      </c>
      <c r="F28" s="103">
        <f t="shared" si="5"/>
        <v>0.3826997484053961</v>
      </c>
      <c r="G28" s="104">
        <f t="shared" si="6"/>
        <v>1.5507949932215053</v>
      </c>
      <c r="H28" s="104">
        <f t="shared" si="7"/>
        <v>0.999799979995999</v>
      </c>
      <c r="I28" s="112">
        <f t="shared" si="8"/>
        <v>0.8100345016992673</v>
      </c>
      <c r="J28" s="146">
        <f t="shared" si="9"/>
        <v>0.5234568577372615</v>
      </c>
      <c r="K28" s="119">
        <f t="shared" si="10"/>
        <v>3.1015899864430105</v>
      </c>
      <c r="L28" s="112">
        <f t="shared" si="11"/>
        <v>0.4899999999999996</v>
      </c>
      <c r="M28" s="104">
        <f t="shared" si="12"/>
        <v>0.8044021094</v>
      </c>
      <c r="N28" s="15"/>
    </row>
    <row r="29" spans="1:14" ht="12.75">
      <c r="A29" s="104">
        <f t="shared" si="0"/>
        <v>-1341.4372235289868</v>
      </c>
      <c r="B29" s="103">
        <f t="shared" si="1"/>
        <v>0.4399999999999996</v>
      </c>
      <c r="C29" s="104">
        <f t="shared" si="2"/>
        <v>0.5136662238612847</v>
      </c>
      <c r="D29" s="105">
        <f t="shared" si="3"/>
        <v>0.0016473671908796906</v>
      </c>
      <c r="E29" s="112">
        <f t="shared" si="4"/>
        <v>103.97656022456219</v>
      </c>
      <c r="F29" s="103">
        <f t="shared" si="5"/>
        <v>0.33284339434964866</v>
      </c>
      <c r="G29" s="104">
        <f t="shared" si="6"/>
        <v>1.4505064444001077</v>
      </c>
      <c r="H29" s="104">
        <f t="shared" si="7"/>
        <v>0.9927738916792684</v>
      </c>
      <c r="I29" s="112">
        <f t="shared" si="8"/>
        <v>0.9313689418584288</v>
      </c>
      <c r="J29" s="146">
        <f t="shared" si="9"/>
        <v>0.4842304765377566</v>
      </c>
      <c r="K29" s="119">
        <f t="shared" si="10"/>
        <v>2.9010128888002154</v>
      </c>
      <c r="L29" s="112">
        <f t="shared" si="11"/>
        <v>0.4399999999999996</v>
      </c>
      <c r="M29" s="104">
        <f t="shared" si="12"/>
        <v>0.7958961024</v>
      </c>
      <c r="N29" s="15"/>
    </row>
    <row r="30" spans="1:14" s="122" customFormat="1" ht="12.75">
      <c r="A30" s="60"/>
      <c r="B30" s="124"/>
      <c r="C30" s="60"/>
      <c r="D30" s="123"/>
      <c r="E30" s="125"/>
      <c r="F30" s="124"/>
      <c r="G30" s="60"/>
      <c r="H30" s="60"/>
      <c r="I30" s="125"/>
      <c r="J30" s="147"/>
      <c r="K30" s="60"/>
      <c r="L30" s="125"/>
      <c r="M30" s="60"/>
      <c r="N30" s="121"/>
    </row>
    <row r="31" spans="1:14" s="122" customFormat="1" ht="12.75">
      <c r="A31" s="60"/>
      <c r="B31" s="124"/>
      <c r="C31" s="60"/>
      <c r="D31" s="123"/>
      <c r="E31" s="125"/>
      <c r="F31" s="124"/>
      <c r="G31" s="60"/>
      <c r="H31" s="60"/>
      <c r="I31" s="125"/>
      <c r="J31" s="147"/>
      <c r="K31" s="60"/>
      <c r="L31" s="125"/>
      <c r="M31" s="60"/>
      <c r="N31" s="121"/>
    </row>
    <row r="32" spans="1:14" s="122" customFormat="1" ht="12.75">
      <c r="A32" s="60"/>
      <c r="B32" s="124"/>
      <c r="C32" s="60"/>
      <c r="D32" s="123"/>
      <c r="E32" s="125"/>
      <c r="F32" s="124"/>
      <c r="G32" s="60"/>
      <c r="H32" s="60"/>
      <c r="I32" s="125"/>
      <c r="J32" s="147"/>
      <c r="K32" s="60"/>
      <c r="L32" s="125"/>
      <c r="M32" s="60"/>
      <c r="N32" s="121"/>
    </row>
    <row r="33" spans="1:14" s="122" customFormat="1" ht="12.75">
      <c r="A33" s="60"/>
      <c r="B33" s="124"/>
      <c r="C33" s="60"/>
      <c r="D33" s="123"/>
      <c r="E33" s="125"/>
      <c r="F33" s="124"/>
      <c r="G33" s="60"/>
      <c r="H33" s="60"/>
      <c r="I33" s="125"/>
      <c r="J33" s="147"/>
      <c r="K33" s="60"/>
      <c r="L33" s="125"/>
      <c r="M33" s="60"/>
      <c r="N33" s="121"/>
    </row>
    <row r="34" spans="1:14" s="122" customFormat="1" ht="12.75">
      <c r="A34" s="60"/>
      <c r="B34" s="124"/>
      <c r="C34" s="60"/>
      <c r="D34" s="123"/>
      <c r="E34" s="125"/>
      <c r="F34" s="124"/>
      <c r="G34" s="60"/>
      <c r="H34" s="60"/>
      <c r="I34" s="125"/>
      <c r="J34" s="147"/>
      <c r="K34" s="60"/>
      <c r="L34" s="125"/>
      <c r="M34" s="60"/>
      <c r="N34" s="121"/>
    </row>
    <row r="35" spans="1:14" s="122" customFormat="1" ht="12.75">
      <c r="A35" s="60"/>
      <c r="B35" s="124"/>
      <c r="C35" s="60"/>
      <c r="D35" s="123"/>
      <c r="E35" s="125"/>
      <c r="F35" s="124"/>
      <c r="G35" s="60"/>
      <c r="H35" s="60"/>
      <c r="I35" s="125"/>
      <c r="J35" s="147"/>
      <c r="K35" s="60"/>
      <c r="L35" s="125"/>
      <c r="M35" s="60"/>
      <c r="N35" s="121"/>
    </row>
    <row r="36" spans="1:14" s="122" customFormat="1" ht="12.75">
      <c r="A36" s="126"/>
      <c r="B36" s="126"/>
      <c r="C36" s="126"/>
      <c r="D36" s="126"/>
      <c r="E36" s="126"/>
      <c r="F36" s="126"/>
      <c r="G36" s="126"/>
      <c r="H36" s="126"/>
      <c r="I36" s="126"/>
      <c r="J36" s="149"/>
      <c r="K36" s="126"/>
      <c r="L36" s="127"/>
      <c r="M36" s="127"/>
      <c r="N36" s="128"/>
    </row>
    <row r="37" spans="1:14" s="122" customFormat="1" ht="12.75">
      <c r="A37" s="126"/>
      <c r="B37" s="126"/>
      <c r="C37" s="126"/>
      <c r="D37" s="126"/>
      <c r="E37" s="126"/>
      <c r="F37" s="126"/>
      <c r="G37" s="126"/>
      <c r="H37" s="126"/>
      <c r="I37" s="126"/>
      <c r="J37" s="149"/>
      <c r="K37" s="126"/>
      <c r="L37" s="127"/>
      <c r="M37" s="127"/>
      <c r="N37" s="128"/>
    </row>
    <row r="38" spans="1:14" s="122" customFormat="1" ht="12.75">
      <c r="A38" s="126"/>
      <c r="B38" s="126"/>
      <c r="C38" s="126"/>
      <c r="D38" s="126"/>
      <c r="E38" s="126"/>
      <c r="F38" s="126"/>
      <c r="G38" s="126"/>
      <c r="H38" s="126"/>
      <c r="I38" s="126"/>
      <c r="J38" s="149"/>
      <c r="K38" s="126"/>
      <c r="L38" s="127"/>
      <c r="M38" s="127"/>
      <c r="N38" s="128"/>
    </row>
    <row r="39" spans="1:14" s="122" customFormat="1" ht="12.75">
      <c r="A39" s="126"/>
      <c r="B39" s="126"/>
      <c r="C39" s="126"/>
      <c r="D39" s="126"/>
      <c r="E39" s="126"/>
      <c r="F39" s="126"/>
      <c r="G39" s="126"/>
      <c r="H39" s="126"/>
      <c r="I39" s="126"/>
      <c r="J39" s="149"/>
      <c r="K39" s="126"/>
      <c r="L39" s="127"/>
      <c r="M39" s="127"/>
      <c r="N39" s="128"/>
    </row>
    <row r="40" spans="1:14" s="122" customFormat="1" ht="12.75">
      <c r="A40" s="126"/>
      <c r="B40" s="126"/>
      <c r="C40" s="126"/>
      <c r="D40" s="126"/>
      <c r="E40" s="126"/>
      <c r="F40" s="126"/>
      <c r="G40" s="126"/>
      <c r="H40" s="126"/>
      <c r="I40" s="126"/>
      <c r="J40" s="149"/>
      <c r="K40" s="126"/>
      <c r="L40" s="127"/>
      <c r="M40" s="127"/>
      <c r="N40" s="128"/>
    </row>
    <row r="41" spans="1:14" s="122" customFormat="1" ht="12.75">
      <c r="A41" s="126"/>
      <c r="B41" s="126"/>
      <c r="C41" s="126"/>
      <c r="D41" s="126"/>
      <c r="E41" s="126"/>
      <c r="F41" s="126"/>
      <c r="G41" s="126"/>
      <c r="H41" s="126"/>
      <c r="I41" s="126"/>
      <c r="J41" s="149"/>
      <c r="K41" s="126"/>
      <c r="L41" s="127"/>
      <c r="M41" s="127"/>
      <c r="N41" s="128"/>
    </row>
    <row r="42" spans="1:14" s="122" customFormat="1" ht="12.75">
      <c r="A42" s="126"/>
      <c r="B42" s="126"/>
      <c r="C42" s="126"/>
      <c r="D42" s="126"/>
      <c r="E42" s="126"/>
      <c r="F42" s="126"/>
      <c r="G42" s="126"/>
      <c r="H42" s="126"/>
      <c r="I42" s="126"/>
      <c r="J42" s="149"/>
      <c r="K42" s="126"/>
      <c r="L42" s="127"/>
      <c r="M42" s="127"/>
      <c r="N42" s="128"/>
    </row>
    <row r="43" spans="1:14" s="122" customFormat="1" ht="12.75">
      <c r="A43" s="126"/>
      <c r="B43" s="126"/>
      <c r="C43" s="126"/>
      <c r="D43" s="126"/>
      <c r="E43" s="126"/>
      <c r="F43" s="126"/>
      <c r="G43" s="126"/>
      <c r="H43" s="126"/>
      <c r="I43" s="126"/>
      <c r="J43" s="149"/>
      <c r="K43" s="126"/>
      <c r="L43" s="127"/>
      <c r="M43" s="127"/>
      <c r="N43" s="128"/>
    </row>
    <row r="44" spans="1:14" s="122" customFormat="1" ht="12.75">
      <c r="A44" s="126"/>
      <c r="B44" s="126"/>
      <c r="C44" s="126"/>
      <c r="D44" s="126"/>
      <c r="E44" s="126"/>
      <c r="F44" s="126"/>
      <c r="G44" s="126"/>
      <c r="H44" s="126"/>
      <c r="I44" s="126"/>
      <c r="J44" s="149"/>
      <c r="K44" s="126"/>
      <c r="L44" s="127"/>
      <c r="M44" s="127"/>
      <c r="N44" s="128"/>
    </row>
    <row r="45" spans="1:14" s="122" customFormat="1" ht="12.75">
      <c r="A45" s="126"/>
      <c r="B45" s="126"/>
      <c r="C45" s="126"/>
      <c r="D45" s="126"/>
      <c r="E45" s="126"/>
      <c r="F45" s="126"/>
      <c r="G45" s="126"/>
      <c r="H45" s="126"/>
      <c r="I45" s="126"/>
      <c r="J45" s="149"/>
      <c r="K45" s="126"/>
      <c r="L45" s="127"/>
      <c r="M45" s="127"/>
      <c r="N45" s="128"/>
    </row>
    <row r="46" spans="10:14" s="122" customFormat="1" ht="12.75">
      <c r="J46" s="158"/>
      <c r="L46" s="159"/>
      <c r="M46" s="159"/>
      <c r="N46" s="160"/>
    </row>
    <row r="47" spans="10:14" s="122" customFormat="1" ht="12.75">
      <c r="J47" s="158"/>
      <c r="L47" s="159"/>
      <c r="M47" s="159"/>
      <c r="N47" s="160"/>
    </row>
    <row r="48" spans="10:14" s="122" customFormat="1" ht="12.75">
      <c r="J48" s="158"/>
      <c r="L48" s="159"/>
      <c r="M48" s="159"/>
      <c r="N48" s="160"/>
    </row>
    <row r="49" spans="10:14" s="122" customFormat="1" ht="12.75">
      <c r="J49" s="158"/>
      <c r="L49" s="159"/>
      <c r="M49" s="159"/>
      <c r="N49" s="160"/>
    </row>
    <row r="50" spans="10:14" s="122" customFormat="1" ht="12.75">
      <c r="J50" s="158"/>
      <c r="L50" s="159"/>
      <c r="M50" s="159"/>
      <c r="N50" s="160"/>
    </row>
    <row r="51" spans="10:14" s="122" customFormat="1" ht="12.75">
      <c r="J51" s="158"/>
      <c r="L51" s="159"/>
      <c r="M51" s="159"/>
      <c r="N51" s="159"/>
    </row>
    <row r="52" spans="10:14" s="122" customFormat="1" ht="12.75">
      <c r="J52" s="158"/>
      <c r="L52" s="159"/>
      <c r="M52" s="159"/>
      <c r="N52" s="159"/>
    </row>
    <row r="53" spans="10:14" s="122" customFormat="1" ht="12.75">
      <c r="J53" s="158"/>
      <c r="L53" s="159"/>
      <c r="M53" s="159"/>
      <c r="N53" s="159"/>
    </row>
    <row r="54" spans="10:14" s="122" customFormat="1" ht="12.75">
      <c r="J54" s="158"/>
      <c r="L54" s="159"/>
      <c r="M54" s="159"/>
      <c r="N54" s="159"/>
    </row>
    <row r="55" spans="10:14" s="122" customFormat="1" ht="12.75">
      <c r="J55" s="158"/>
      <c r="L55" s="159"/>
      <c r="M55" s="159"/>
      <c r="N55" s="159"/>
    </row>
    <row r="56" spans="10:14" s="122" customFormat="1" ht="12.75">
      <c r="J56" s="158"/>
      <c r="L56" s="159"/>
      <c r="M56" s="159"/>
      <c r="N56" s="159"/>
    </row>
    <row r="57" spans="10:14" s="122" customFormat="1" ht="12.75">
      <c r="J57" s="158"/>
      <c r="L57" s="159"/>
      <c r="M57" s="159"/>
      <c r="N57" s="159"/>
    </row>
    <row r="58" spans="10:14" s="122" customFormat="1" ht="12.75">
      <c r="J58" s="158"/>
      <c r="L58" s="159"/>
      <c r="M58" s="159"/>
      <c r="N58" s="159"/>
    </row>
    <row r="59" spans="10:14" s="122" customFormat="1" ht="12.75">
      <c r="J59" s="158"/>
      <c r="L59" s="159"/>
      <c r="M59" s="159"/>
      <c r="N59" s="159"/>
    </row>
    <row r="60" spans="10:14" s="122" customFormat="1" ht="12.75">
      <c r="J60" s="158"/>
      <c r="L60" s="159"/>
      <c r="M60" s="159"/>
      <c r="N60" s="15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I21"/>
  <sheetViews>
    <sheetView showGridLines="0" workbookViewId="0" topLeftCell="A1">
      <selection activeCell="K9" sqref="K9"/>
    </sheetView>
  </sheetViews>
  <sheetFormatPr defaultColWidth="9.140625" defaultRowHeight="12.75"/>
  <cols>
    <col min="1" max="4" width="11.421875" style="0" customWidth="1"/>
    <col min="5" max="5" width="12.421875" style="0" customWidth="1"/>
    <col min="6" max="16384" width="11.421875" style="0" customWidth="1"/>
  </cols>
  <sheetData>
    <row r="1" spans="1:9" ht="18.75" thickTop="1">
      <c r="A1" s="89" t="s">
        <v>150</v>
      </c>
      <c r="B1" s="22"/>
      <c r="C1" s="22"/>
      <c r="D1" s="23"/>
      <c r="E1" s="1"/>
      <c r="F1" s="325" t="s">
        <v>156</v>
      </c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30" t="s">
        <v>9</v>
      </c>
      <c r="B3" s="61">
        <v>0.15</v>
      </c>
      <c r="C3" s="31" t="s">
        <v>25</v>
      </c>
      <c r="D3" s="137">
        <f>E3/2</f>
        <v>0.004</v>
      </c>
      <c r="E3" s="20">
        <f>F5/1000</f>
        <v>0.008</v>
      </c>
      <c r="F3" s="32" t="s">
        <v>103</v>
      </c>
      <c r="G3" s="32" t="s">
        <v>104</v>
      </c>
      <c r="H3" s="20">
        <f>G5/1000</f>
        <v>1.6</v>
      </c>
      <c r="I3" s="37">
        <f>H3/2</f>
        <v>0.8</v>
      </c>
    </row>
    <row r="4" spans="1:9" ht="12.75">
      <c r="A4" s="30" t="s">
        <v>56</v>
      </c>
      <c r="B4" s="143">
        <v>0</v>
      </c>
      <c r="C4" s="6" t="s">
        <v>26</v>
      </c>
      <c r="D4" s="6" t="s">
        <v>65</v>
      </c>
      <c r="E4" s="103">
        <f>(B3+B4*E3)*E3</f>
        <v>0.0012</v>
      </c>
      <c r="F4" s="16" t="s">
        <v>28</v>
      </c>
      <c r="G4" s="16" t="s">
        <v>28</v>
      </c>
      <c r="H4" s="103">
        <f>(B3+B4*H3)*H3</f>
        <v>0.24</v>
      </c>
      <c r="I4" s="141" t="s">
        <v>105</v>
      </c>
    </row>
    <row r="5" spans="1:9" ht="12.75">
      <c r="A5" s="30" t="s">
        <v>72</v>
      </c>
      <c r="B5" s="139">
        <v>0.002824</v>
      </c>
      <c r="C5" s="6" t="s">
        <v>29</v>
      </c>
      <c r="D5" s="6" t="s">
        <v>66</v>
      </c>
      <c r="E5" s="103">
        <f>(1+B4^2)^0.5*2*E3+B3</f>
        <v>0.16599999999999998</v>
      </c>
      <c r="F5" s="140">
        <v>8</v>
      </c>
      <c r="G5" s="140">
        <v>1600</v>
      </c>
      <c r="H5" s="103">
        <f>(1+B4^2)^0.5*2*H3+B3</f>
        <v>3.35</v>
      </c>
      <c r="I5" s="141" t="s">
        <v>106</v>
      </c>
    </row>
    <row r="6" spans="1:9" ht="12.75">
      <c r="A6" s="30"/>
      <c r="B6" s="129"/>
      <c r="C6" s="6" t="s">
        <v>32</v>
      </c>
      <c r="D6" s="6" t="s">
        <v>33</v>
      </c>
      <c r="E6" s="103">
        <f>B3+2*B4*E3</f>
        <v>0.15</v>
      </c>
      <c r="F6" s="58" t="s">
        <v>0</v>
      </c>
      <c r="G6" s="82" t="s">
        <v>0</v>
      </c>
      <c r="H6" s="103">
        <f>B3+2*B4*H3</f>
        <v>0.15</v>
      </c>
      <c r="I6" s="141" t="s">
        <v>107</v>
      </c>
    </row>
    <row r="7" spans="1:9" ht="12.75">
      <c r="A7" s="30"/>
      <c r="B7" s="34"/>
      <c r="C7" s="6" t="s">
        <v>26</v>
      </c>
      <c r="D7" s="6" t="s">
        <v>34</v>
      </c>
      <c r="E7" s="103">
        <f>E4/E5</f>
        <v>0.007228915662650603</v>
      </c>
      <c r="F7" s="24"/>
      <c r="G7" s="24"/>
      <c r="H7" s="103">
        <f>H4/H5</f>
        <v>0.07164179104477611</v>
      </c>
      <c r="I7" s="141" t="s">
        <v>108</v>
      </c>
    </row>
    <row r="8" spans="1:9" ht="12.75">
      <c r="A8" s="30"/>
      <c r="B8" s="34"/>
      <c r="C8" s="6" t="s">
        <v>36</v>
      </c>
      <c r="D8" s="6" t="s">
        <v>37</v>
      </c>
      <c r="E8" s="103">
        <f>E4/E6</f>
        <v>0.008</v>
      </c>
      <c r="F8" s="24"/>
      <c r="G8" s="24"/>
      <c r="H8" s="103">
        <f>H4/H6</f>
        <v>1.6</v>
      </c>
      <c r="I8" s="141" t="s">
        <v>109</v>
      </c>
    </row>
    <row r="9" spans="1:9" ht="12.75">
      <c r="A9" s="4"/>
      <c r="B9" s="34"/>
      <c r="C9" s="6" t="s">
        <v>17</v>
      </c>
      <c r="D9" s="5"/>
      <c r="E9" s="5"/>
      <c r="F9" s="24"/>
      <c r="G9" s="24"/>
      <c r="H9" s="15"/>
      <c r="I9" s="7"/>
    </row>
    <row r="10" spans="1:9" ht="12.75">
      <c r="A10" s="30"/>
      <c r="B10" s="133"/>
      <c r="C10" s="6" t="s">
        <v>39</v>
      </c>
      <c r="D10" s="5"/>
      <c r="E10" s="5"/>
      <c r="F10" s="24" t="s">
        <v>0</v>
      </c>
      <c r="G10" s="24"/>
      <c r="H10" s="15"/>
      <c r="I10" s="131"/>
    </row>
    <row r="11" spans="1:9" ht="12.75">
      <c r="A11" s="4"/>
      <c r="B11" s="5"/>
      <c r="C11" s="6" t="s">
        <v>13</v>
      </c>
      <c r="D11" s="5"/>
      <c r="E11" s="5"/>
      <c r="F11" s="24"/>
      <c r="G11" s="24"/>
      <c r="H11" s="15"/>
      <c r="I11" s="131"/>
    </row>
    <row r="12" spans="1:9" ht="12.75">
      <c r="A12" s="135"/>
      <c r="B12" s="118"/>
      <c r="C12" s="5"/>
      <c r="D12" s="102"/>
      <c r="E12" s="98"/>
      <c r="F12" s="5"/>
      <c r="G12" s="98"/>
      <c r="H12" s="15"/>
      <c r="I12" s="132" t="s">
        <v>0</v>
      </c>
    </row>
    <row r="13" spans="1:9" ht="12.75">
      <c r="A13" s="4"/>
      <c r="B13" s="5"/>
      <c r="C13" s="5"/>
      <c r="D13" s="5"/>
      <c r="E13" s="59" t="s">
        <v>110</v>
      </c>
      <c r="F13" s="329">
        <f>B5^2/9.806/E4+E3^2/6*(2*B4*E3+3*B3)</f>
        <v>0.0006825292813923449</v>
      </c>
      <c r="G13" s="329">
        <f>B5^2/9.806/H4+H3^2/6*(2*B4*H3+3*B3)</f>
        <v>0.19200338864640698</v>
      </c>
      <c r="H13" s="320" t="s">
        <v>111</v>
      </c>
      <c r="I13" s="7"/>
    </row>
    <row r="14" spans="1:9" ht="12.75">
      <c r="A14" s="30"/>
      <c r="B14" s="133"/>
      <c r="C14" s="5"/>
      <c r="D14" s="34"/>
      <c r="E14" s="102" t="s">
        <v>0</v>
      </c>
      <c r="F14" s="155"/>
      <c r="G14" s="59"/>
      <c r="H14" s="15"/>
      <c r="I14" s="7"/>
    </row>
    <row r="15" spans="1:9" ht="12.75">
      <c r="A15" s="30"/>
      <c r="B15" s="62"/>
      <c r="C15" s="5"/>
      <c r="D15" s="34"/>
      <c r="E15" s="130" t="s">
        <v>112</v>
      </c>
      <c r="F15" s="112">
        <f>B5/E4</f>
        <v>2.3533333333333335</v>
      </c>
      <c r="G15" s="112">
        <f>B5/H4</f>
        <v>0.011766666666666668</v>
      </c>
      <c r="H15" s="15"/>
      <c r="I15" s="7"/>
    </row>
    <row r="16" spans="1:9" ht="12.75">
      <c r="A16" s="30"/>
      <c r="B16" s="62"/>
      <c r="C16" s="5"/>
      <c r="D16" s="34"/>
      <c r="E16" s="138" t="s">
        <v>113</v>
      </c>
      <c r="F16" s="104">
        <f>B5/E4/(9.806*E8)^0.5</f>
        <v>8.402190199289466</v>
      </c>
      <c r="G16" s="104">
        <f>B5/H4/(9.806*H8)^0.5</f>
        <v>0.002970622833368365</v>
      </c>
      <c r="H16" s="15"/>
      <c r="I16" s="7"/>
    </row>
    <row r="17" spans="1:9" ht="12.75">
      <c r="A17" s="30"/>
      <c r="B17" s="62"/>
      <c r="C17" s="5"/>
      <c r="D17" s="34"/>
      <c r="E17" s="116" t="s">
        <v>114</v>
      </c>
      <c r="F17" s="103">
        <f>F5/1000+F15^2/2/9.806</f>
        <v>0.2903872005801437</v>
      </c>
      <c r="G17" s="103">
        <f>G5/1000+G15^2/2/9.806</f>
        <v>1.6000070596800147</v>
      </c>
      <c r="H17" s="62" t="s">
        <v>0</v>
      </c>
      <c r="I17" s="7"/>
    </row>
    <row r="18" spans="1:9" ht="13.5" thickBot="1">
      <c r="A18" s="33"/>
      <c r="B18" s="134"/>
      <c r="C18" s="5"/>
      <c r="D18" s="35"/>
      <c r="E18" s="142" t="s">
        <v>115</v>
      </c>
      <c r="F18" s="152">
        <f>-(G5-F5)/1000-(G15^2-F15^2)/2/9.806</f>
        <v>-1.3096198590998709</v>
      </c>
      <c r="G18" s="154"/>
      <c r="H18" s="134"/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36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30"/>
      <c r="G20" s="62"/>
      <c r="H20" s="6"/>
      <c r="I20" s="132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35"/>
      <c r="G21" s="134"/>
      <c r="H21" s="35"/>
      <c r="I21" s="57"/>
    </row>
    <row r="22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I21"/>
  <sheetViews>
    <sheetView showGridLines="0" workbookViewId="0" topLeftCell="A1">
      <selection activeCell="G31" sqref="G31"/>
    </sheetView>
  </sheetViews>
  <sheetFormatPr defaultColWidth="9.140625" defaultRowHeight="12.75"/>
  <cols>
    <col min="1" max="4" width="11.421875" style="0" customWidth="1"/>
    <col min="5" max="5" width="12.28125" style="0" customWidth="1"/>
    <col min="6" max="8" width="11.421875" style="0" customWidth="1"/>
    <col min="9" max="9" width="12.28125" style="0" customWidth="1"/>
    <col min="10" max="16384" width="11.421875" style="0" customWidth="1"/>
  </cols>
  <sheetData>
    <row r="1" spans="1:9" ht="18.75" thickTop="1">
      <c r="A1" s="89" t="s">
        <v>157</v>
      </c>
      <c r="B1" s="22"/>
      <c r="C1" s="22"/>
      <c r="D1" s="23"/>
      <c r="E1" s="1"/>
      <c r="F1" s="325" t="s">
        <v>156</v>
      </c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30" t="s">
        <v>64</v>
      </c>
      <c r="B3" s="61">
        <v>3</v>
      </c>
      <c r="C3" s="31" t="s">
        <v>25</v>
      </c>
      <c r="D3" s="137">
        <f>E3/2</f>
        <v>0.994804726317152</v>
      </c>
      <c r="E3" s="20">
        <f>2*ACOS(1-2*F5/1000/B3)</f>
        <v>1.989609452634304</v>
      </c>
      <c r="F3" s="32" t="s">
        <v>103</v>
      </c>
      <c r="G3" s="32" t="s">
        <v>104</v>
      </c>
      <c r="H3" s="20">
        <f>2*ACOS(1-2*G5/1000/B3)</f>
        <v>3.5620154857881134</v>
      </c>
      <c r="I3" s="37">
        <f>H3/2</f>
        <v>1.7810077428940567</v>
      </c>
    </row>
    <row r="4" spans="1:9" ht="12.75">
      <c r="A4" s="30" t="s">
        <v>72</v>
      </c>
      <c r="B4" s="139">
        <v>10</v>
      </c>
      <c r="C4" s="6" t="s">
        <v>26</v>
      </c>
      <c r="D4" s="6" t="s">
        <v>65</v>
      </c>
      <c r="E4" s="103">
        <f>(E3-SIN(E3))*B3^2/8</f>
        <v>1.210541844612059</v>
      </c>
      <c r="F4" s="16" t="s">
        <v>28</v>
      </c>
      <c r="G4" s="16" t="s">
        <v>28</v>
      </c>
      <c r="H4" s="103">
        <f>(H3-SIN(H3))*B3^2/8</f>
        <v>4.466432234012542</v>
      </c>
      <c r="I4" s="141" t="s">
        <v>105</v>
      </c>
    </row>
    <row r="5" spans="1:9" ht="12.75">
      <c r="A5" s="30" t="s">
        <v>0</v>
      </c>
      <c r="B5" s="34" t="s">
        <v>0</v>
      </c>
      <c r="C5" s="6" t="s">
        <v>29</v>
      </c>
      <c r="D5" s="6" t="s">
        <v>66</v>
      </c>
      <c r="E5" s="103">
        <f>E3*B3/2</f>
        <v>2.984414178951456</v>
      </c>
      <c r="F5" s="140">
        <v>683</v>
      </c>
      <c r="G5" s="140">
        <v>1813</v>
      </c>
      <c r="H5" s="103">
        <f>H3*B3/2</f>
        <v>5.343023228682171</v>
      </c>
      <c r="I5" s="141" t="s">
        <v>106</v>
      </c>
    </row>
    <row r="6" spans="1:9" ht="12.75">
      <c r="A6" s="30"/>
      <c r="B6" s="129"/>
      <c r="C6" s="6" t="s">
        <v>32</v>
      </c>
      <c r="D6" s="6" t="s">
        <v>33</v>
      </c>
      <c r="E6" s="103">
        <f>B3*SIN(E3/2)</f>
        <v>2.515957869281598</v>
      </c>
      <c r="F6" s="58" t="s">
        <v>0</v>
      </c>
      <c r="G6" s="82" t="s">
        <v>0</v>
      </c>
      <c r="H6" s="103">
        <f>B3*SIN(H3/2)</f>
        <v>2.9339604632646297</v>
      </c>
      <c r="I6" s="141" t="s">
        <v>107</v>
      </c>
    </row>
    <row r="7" spans="1:9" ht="12.75">
      <c r="A7" s="30"/>
      <c r="B7" s="34"/>
      <c r="C7" s="6" t="s">
        <v>26</v>
      </c>
      <c r="D7" s="6" t="s">
        <v>34</v>
      </c>
      <c r="E7" s="103">
        <f>E4/E5</f>
        <v>0.4056212616699773</v>
      </c>
      <c r="F7" s="24"/>
      <c r="G7" s="24"/>
      <c r="H7" s="103">
        <f>H4/H5</f>
        <v>0.8359372667586483</v>
      </c>
      <c r="I7" s="141" t="s">
        <v>108</v>
      </c>
    </row>
    <row r="8" spans="1:9" ht="12.75">
      <c r="A8" s="30"/>
      <c r="B8" s="34"/>
      <c r="C8" s="6" t="s">
        <v>36</v>
      </c>
      <c r="D8" s="6" t="s">
        <v>37</v>
      </c>
      <c r="E8" s="103">
        <f>E4/E6</f>
        <v>0.4811455149516136</v>
      </c>
      <c r="F8" s="24"/>
      <c r="G8" s="24"/>
      <c r="H8" s="103">
        <f>H4/H6</f>
        <v>1.5223218887696683</v>
      </c>
      <c r="I8" s="141" t="s">
        <v>109</v>
      </c>
    </row>
    <row r="9" spans="1:9" ht="12.75">
      <c r="A9" s="4"/>
      <c r="B9" s="34"/>
      <c r="C9" s="6" t="s">
        <v>17</v>
      </c>
      <c r="D9" s="5"/>
      <c r="E9" s="5"/>
      <c r="F9" s="24"/>
      <c r="G9" s="24"/>
      <c r="H9" s="15"/>
      <c r="I9" s="7"/>
    </row>
    <row r="10" spans="1:9" ht="12.75">
      <c r="A10" s="30"/>
      <c r="B10" s="133"/>
      <c r="C10" s="6" t="s">
        <v>39</v>
      </c>
      <c r="D10" s="5"/>
      <c r="E10" s="5"/>
      <c r="F10" s="24" t="s">
        <v>0</v>
      </c>
      <c r="G10" s="24"/>
      <c r="H10" s="15"/>
      <c r="I10" s="131"/>
    </row>
    <row r="11" spans="1:9" ht="12.75">
      <c r="A11" s="4"/>
      <c r="B11" s="5"/>
      <c r="C11" s="6" t="s">
        <v>13</v>
      </c>
      <c r="D11" s="5"/>
      <c r="E11" s="5"/>
      <c r="F11" s="24"/>
      <c r="G11" s="24"/>
      <c r="H11" s="15"/>
      <c r="I11" s="131"/>
    </row>
    <row r="12" spans="1:9" ht="12.75">
      <c r="A12" s="135"/>
      <c r="B12" s="118"/>
      <c r="C12" s="5"/>
      <c r="D12" s="102"/>
      <c r="E12" s="98"/>
      <c r="F12" s="5"/>
      <c r="G12" s="98"/>
      <c r="H12" s="15"/>
      <c r="I12" s="132" t="s">
        <v>0</v>
      </c>
    </row>
    <row r="13" spans="1:9" ht="12.75">
      <c r="A13" s="4"/>
      <c r="B13" s="5"/>
      <c r="C13" s="5"/>
      <c r="D13" s="5"/>
      <c r="E13" s="59" t="s">
        <v>110</v>
      </c>
      <c r="F13" s="330">
        <f>B4^2/9.806/E4+B3^3/24*(3*SIN(D3)-(SIN(D3)^3)-3*D3*COS(D3))</f>
        <v>8.762357252009343</v>
      </c>
      <c r="G13" s="330">
        <f>B4^2/9.806/H4+B3^3/24*(3*SIN(I3)-(SIN(I3)^3)-3*I3*COS(I3))</f>
        <v>5.785869153095081</v>
      </c>
      <c r="H13" s="320" t="s">
        <v>111</v>
      </c>
      <c r="I13" s="7"/>
    </row>
    <row r="14" spans="1:9" ht="12.75">
      <c r="A14" s="30"/>
      <c r="B14" s="133"/>
      <c r="C14" s="5"/>
      <c r="D14" s="34"/>
      <c r="E14" s="102" t="s">
        <v>0</v>
      </c>
      <c r="F14" s="5"/>
      <c r="G14" s="34"/>
      <c r="H14" s="15"/>
      <c r="I14" s="7"/>
    </row>
    <row r="15" spans="1:9" ht="12.75">
      <c r="A15" s="30"/>
      <c r="B15" s="62"/>
      <c r="C15" s="5"/>
      <c r="D15" s="34"/>
      <c r="E15" s="130" t="s">
        <v>112</v>
      </c>
      <c r="F15" s="112">
        <f>B4/E4</f>
        <v>8.260763594838549</v>
      </c>
      <c r="G15" s="112">
        <f>B4/H4</f>
        <v>2.2389234798747246</v>
      </c>
      <c r="H15" s="15"/>
      <c r="I15" s="7"/>
    </row>
    <row r="16" spans="1:9" ht="12.75">
      <c r="A16" s="30"/>
      <c r="B16" s="62"/>
      <c r="C16" s="5"/>
      <c r="D16" s="34"/>
      <c r="E16" s="138" t="s">
        <v>113</v>
      </c>
      <c r="F16" s="104">
        <f>B4/E4/(9.806*E8)^0.5</f>
        <v>3.8030849674449994</v>
      </c>
      <c r="G16" s="104">
        <f>B4/H4/(9.806*H8)^0.5</f>
        <v>0.579482146881781</v>
      </c>
      <c r="H16" s="15"/>
      <c r="I16" s="7"/>
    </row>
    <row r="17" spans="1:9" ht="12.75">
      <c r="A17" s="30"/>
      <c r="B17" s="62"/>
      <c r="C17" s="5"/>
      <c r="D17" s="34"/>
      <c r="E17" s="116" t="s">
        <v>114</v>
      </c>
      <c r="F17" s="103">
        <f>F5/1000+F15^2/2/9.806</f>
        <v>4.162513316837136</v>
      </c>
      <c r="G17" s="103">
        <f>G5/1000+G15^2/2/9.806</f>
        <v>2.06859750911352</v>
      </c>
      <c r="H17" s="62" t="s">
        <v>0</v>
      </c>
      <c r="I17" s="7"/>
    </row>
    <row r="18" spans="1:9" ht="13.5" thickBot="1">
      <c r="A18" s="33"/>
      <c r="B18" s="134"/>
      <c r="C18" s="5"/>
      <c r="D18" s="35"/>
      <c r="E18" s="142" t="s">
        <v>115</v>
      </c>
      <c r="F18" s="152">
        <f>-(G5-F5)/1000-(G15^2-F15^2)/2/9.806</f>
        <v>2.0939158077236164</v>
      </c>
      <c r="G18" s="153"/>
      <c r="H18" s="134"/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36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30"/>
      <c r="G20" s="62"/>
      <c r="H20" s="6"/>
      <c r="I20" s="132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35"/>
      <c r="G21" s="134"/>
      <c r="H21" s="35"/>
      <c r="I21" s="57"/>
    </row>
    <row r="22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L20"/>
  <sheetViews>
    <sheetView showGridLines="0" workbookViewId="0" topLeftCell="A1">
      <selection activeCell="J6" sqref="J6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4" width="0" style="0" hidden="1" customWidth="1"/>
    <col min="5" max="16384" width="11.421875" style="0" customWidth="1"/>
  </cols>
  <sheetData>
    <row r="1" spans="1:12" ht="18.75" thickTop="1">
      <c r="A1" s="321" t="s">
        <v>158</v>
      </c>
      <c r="B1" s="65"/>
      <c r="C1" s="65"/>
      <c r="D1" s="65"/>
      <c r="E1" s="65"/>
      <c r="F1" s="66"/>
      <c r="G1" s="1"/>
      <c r="H1" s="2"/>
      <c r="I1" s="2"/>
      <c r="J1" s="3"/>
      <c r="K1" s="327" t="s">
        <v>119</v>
      </c>
      <c r="L1" s="327" t="s">
        <v>117</v>
      </c>
    </row>
    <row r="2" spans="1:12" ht="13.5" thickBot="1">
      <c r="A2" s="40" t="s">
        <v>148</v>
      </c>
      <c r="B2" s="67"/>
      <c r="C2" s="67"/>
      <c r="D2" s="67"/>
      <c r="E2" s="67"/>
      <c r="F2" s="68"/>
      <c r="G2" s="12"/>
      <c r="H2" s="13"/>
      <c r="I2" s="13"/>
      <c r="J2" s="14"/>
      <c r="K2" s="327"/>
      <c r="L2" s="327" t="s">
        <v>28</v>
      </c>
    </row>
    <row r="3" spans="1:12" ht="13.5" thickTop="1">
      <c r="A3" s="161" t="s">
        <v>83</v>
      </c>
      <c r="B3" s="69">
        <v>301</v>
      </c>
      <c r="C3" s="70"/>
      <c r="D3" s="70"/>
      <c r="E3" s="70"/>
      <c r="F3" s="71" t="s">
        <v>84</v>
      </c>
      <c r="G3" s="70"/>
      <c r="H3" s="5"/>
      <c r="I3" s="70"/>
      <c r="J3" s="163" t="s">
        <v>68</v>
      </c>
      <c r="K3" s="327" t="s">
        <v>36</v>
      </c>
      <c r="L3" s="327">
        <v>50</v>
      </c>
    </row>
    <row r="4" spans="1:12" ht="12.75">
      <c r="A4" s="30" t="s">
        <v>85</v>
      </c>
      <c r="B4" s="86">
        <f>F5</f>
        <v>105</v>
      </c>
      <c r="C4" s="5">
        <f>+B4^1.852</f>
        <v>5536.592777865392</v>
      </c>
      <c r="D4" s="5"/>
      <c r="E4" s="5"/>
      <c r="F4" s="24"/>
      <c r="G4" s="5"/>
      <c r="H4" s="5"/>
      <c r="I4" s="5"/>
      <c r="J4" s="47" t="s">
        <v>69</v>
      </c>
      <c r="K4" s="327" t="s">
        <v>118</v>
      </c>
      <c r="L4" s="327">
        <v>75</v>
      </c>
    </row>
    <row r="5" spans="1:12" ht="12.75">
      <c r="A5" s="30"/>
      <c r="B5" s="72"/>
      <c r="C5" s="5"/>
      <c r="D5" s="5"/>
      <c r="E5" s="5"/>
      <c r="F5" s="52">
        <v>105</v>
      </c>
      <c r="G5" s="5"/>
      <c r="H5" s="5"/>
      <c r="I5" s="5"/>
      <c r="J5" s="54">
        <v>0.25</v>
      </c>
      <c r="K5" s="327" t="s">
        <v>12</v>
      </c>
      <c r="L5" s="327">
        <v>100</v>
      </c>
    </row>
    <row r="6" spans="1:12" ht="12.75">
      <c r="A6" s="30" t="s">
        <v>86</v>
      </c>
      <c r="B6" s="84">
        <v>0.05</v>
      </c>
      <c r="C6" s="5">
        <f>+B6^4.87</f>
        <v>4.613004955170557E-07</v>
      </c>
      <c r="D6" s="5">
        <f>+B6^4</f>
        <v>6.250000000000003E-06</v>
      </c>
      <c r="E6" s="5"/>
      <c r="F6" s="5" t="s">
        <v>0</v>
      </c>
      <c r="G6" s="5"/>
      <c r="H6" s="5" t="s">
        <v>0</v>
      </c>
      <c r="I6" s="5"/>
      <c r="J6" s="7"/>
      <c r="K6" s="327" t="s">
        <v>14</v>
      </c>
      <c r="L6" s="327">
        <v>150</v>
      </c>
    </row>
    <row r="7" spans="1:12" ht="12.75">
      <c r="A7" s="30" t="s">
        <v>87</v>
      </c>
      <c r="B7" s="74">
        <v>0</v>
      </c>
      <c r="C7" s="5">
        <f>+B9^1.852</f>
        <v>2.1329707311751365E-07</v>
      </c>
      <c r="D7" s="5">
        <f>+B9^2</f>
        <v>6.25E-08</v>
      </c>
      <c r="E7" s="5"/>
      <c r="F7" s="5"/>
      <c r="G7" s="5"/>
      <c r="H7" s="5"/>
      <c r="I7" s="5"/>
      <c r="J7" s="7"/>
      <c r="K7" s="327" t="s">
        <v>118</v>
      </c>
      <c r="L7" s="327">
        <v>200</v>
      </c>
    </row>
    <row r="8" spans="1:12" ht="12.75">
      <c r="A8" s="30"/>
      <c r="B8" s="73"/>
      <c r="C8" s="5"/>
      <c r="D8" s="5"/>
      <c r="E8" s="5"/>
      <c r="F8" s="5"/>
      <c r="G8" s="5"/>
      <c r="H8" s="5"/>
      <c r="I8" s="5"/>
      <c r="J8" s="7"/>
      <c r="K8" s="327" t="s">
        <v>36</v>
      </c>
      <c r="L8" s="327">
        <v>250</v>
      </c>
    </row>
    <row r="9" spans="1:12" ht="12.75">
      <c r="A9" s="30" t="s">
        <v>88</v>
      </c>
      <c r="B9" s="85">
        <f>+J5/1000</f>
        <v>0.00025</v>
      </c>
      <c r="C9" s="5"/>
      <c r="D9" s="5"/>
      <c r="E9" s="5"/>
      <c r="F9" s="5"/>
      <c r="G9" s="5"/>
      <c r="H9" s="5"/>
      <c r="I9" s="5"/>
      <c r="J9" s="7"/>
      <c r="K9" s="327" t="s">
        <v>13</v>
      </c>
      <c r="L9" s="327">
        <v>300</v>
      </c>
    </row>
    <row r="10" spans="1:12" ht="12.75">
      <c r="A10" s="4"/>
      <c r="B10" s="15"/>
      <c r="C10" s="5"/>
      <c r="D10" s="5"/>
      <c r="E10" s="5"/>
      <c r="F10" s="5"/>
      <c r="G10" s="5"/>
      <c r="H10" s="5"/>
      <c r="I10" s="5"/>
      <c r="J10" s="7"/>
      <c r="K10" s="327" t="s">
        <v>17</v>
      </c>
      <c r="L10" s="327">
        <v>350</v>
      </c>
    </row>
    <row r="11" spans="1:12" ht="12.75">
      <c r="A11" s="30" t="s">
        <v>89</v>
      </c>
      <c r="B11" s="75">
        <f>+C11+D11</f>
        <v>0.26834454569948524</v>
      </c>
      <c r="C11" s="5">
        <f>10.675*B3/C6/C4*C7</f>
        <v>0.26834454569948524</v>
      </c>
      <c r="D11" s="5">
        <f>0.81057/D6*B7*D7/9.806</f>
        <v>0</v>
      </c>
      <c r="E11" s="5"/>
      <c r="F11" s="5"/>
      <c r="G11" s="5"/>
      <c r="H11" s="5"/>
      <c r="I11" s="5"/>
      <c r="J11" s="7"/>
      <c r="K11" s="327" t="s">
        <v>39</v>
      </c>
      <c r="L11" s="327">
        <v>400</v>
      </c>
    </row>
    <row r="12" spans="1:12" ht="12.75">
      <c r="A12" s="30" t="s">
        <v>90</v>
      </c>
      <c r="B12" s="45">
        <f>+D11</f>
        <v>0</v>
      </c>
      <c r="C12" s="5"/>
      <c r="D12" s="5"/>
      <c r="E12" s="5"/>
      <c r="F12" s="5"/>
      <c r="G12" s="5"/>
      <c r="H12" s="5"/>
      <c r="I12" s="5"/>
      <c r="J12" s="7"/>
      <c r="K12" s="327" t="s">
        <v>13</v>
      </c>
      <c r="L12" s="327">
        <v>450</v>
      </c>
    </row>
    <row r="13" spans="1:12" ht="12.75">
      <c r="A13" s="30" t="s">
        <v>91</v>
      </c>
      <c r="B13" s="45">
        <f>+B9*4/3.1416/B6^2</f>
        <v>0.12732365673542143</v>
      </c>
      <c r="C13" s="5"/>
      <c r="D13" s="5"/>
      <c r="E13" s="5"/>
      <c r="F13" s="5"/>
      <c r="G13" s="5"/>
      <c r="H13" s="5"/>
      <c r="I13" s="5"/>
      <c r="J13" s="7"/>
      <c r="K13" s="326"/>
      <c r="L13" s="327">
        <v>500</v>
      </c>
    </row>
    <row r="14" spans="1:12" ht="13.5" thickBot="1">
      <c r="A14" s="162" t="s">
        <v>92</v>
      </c>
      <c r="B14" s="76">
        <f>+B13^2/9.806/2</f>
        <v>0.0008266017522169808</v>
      </c>
      <c r="C14" s="77"/>
      <c r="D14" s="77"/>
      <c r="E14" s="77"/>
      <c r="F14" s="77"/>
      <c r="G14" s="77"/>
      <c r="H14" s="77"/>
      <c r="I14" s="77"/>
      <c r="J14" s="164"/>
      <c r="K14" s="327" t="s">
        <v>0</v>
      </c>
      <c r="L14" s="327">
        <v>600</v>
      </c>
    </row>
    <row r="15" spans="1:12" ht="13.5" thickTop="1">
      <c r="A15" s="78" t="s">
        <v>93</v>
      </c>
      <c r="B15" s="39" t="s">
        <v>2</v>
      </c>
      <c r="C15" s="17"/>
      <c r="D15" s="17"/>
      <c r="E15" s="17"/>
      <c r="F15" s="17"/>
      <c r="G15" s="23"/>
      <c r="H15" s="1"/>
      <c r="I15" s="2"/>
      <c r="J15" s="3"/>
      <c r="K15" s="326"/>
      <c r="L15" s="327">
        <v>750</v>
      </c>
    </row>
    <row r="16" spans="1:12" ht="12.75">
      <c r="A16" s="79" t="s">
        <v>94</v>
      </c>
      <c r="B16" s="8" t="s">
        <v>52</v>
      </c>
      <c r="C16" s="24"/>
      <c r="D16" s="24"/>
      <c r="E16" s="24"/>
      <c r="F16" s="24"/>
      <c r="G16" s="25"/>
      <c r="H16" s="4"/>
      <c r="I16" s="5"/>
      <c r="J16" s="7"/>
      <c r="K16" s="326"/>
      <c r="L16" s="327">
        <v>900</v>
      </c>
    </row>
    <row r="17" spans="1:12" ht="13.5" thickBot="1">
      <c r="A17" s="80" t="s">
        <v>95</v>
      </c>
      <c r="B17" s="26" t="s">
        <v>6</v>
      </c>
      <c r="C17" s="27"/>
      <c r="D17" s="27"/>
      <c r="E17" s="27"/>
      <c r="F17" s="27"/>
      <c r="G17" s="28"/>
      <c r="H17" s="12"/>
      <c r="I17" s="13"/>
      <c r="J17" s="14"/>
      <c r="K17" s="326"/>
      <c r="L17" s="326"/>
    </row>
    <row r="18" ht="13.5" thickTop="1"/>
    <row r="19" spans="6:7" ht="12.75">
      <c r="F19" t="s">
        <v>0</v>
      </c>
      <c r="G19" t="s">
        <v>0</v>
      </c>
    </row>
    <row r="20" ht="12.75">
      <c r="H20" s="97" t="s">
        <v>0</v>
      </c>
    </row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K22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21.57421875" style="0" customWidth="1"/>
    <col min="2" max="2" width="13.57421875" style="0" customWidth="1"/>
    <col min="5" max="16384" width="11.421875" style="0" customWidth="1"/>
  </cols>
  <sheetData>
    <row r="1" spans="1:11" ht="18.75" thickTop="1">
      <c r="A1" s="64" t="s">
        <v>149</v>
      </c>
      <c r="B1" s="65"/>
      <c r="C1" s="65"/>
      <c r="D1" s="65"/>
      <c r="E1" s="65"/>
      <c r="F1" s="66"/>
      <c r="G1" s="2"/>
      <c r="H1" s="2"/>
      <c r="I1" s="3"/>
      <c r="J1" s="327" t="s">
        <v>119</v>
      </c>
      <c r="K1" s="327" t="s">
        <v>117</v>
      </c>
    </row>
    <row r="2" spans="1:11" ht="13.5" thickBot="1">
      <c r="A2" s="40" t="s">
        <v>148</v>
      </c>
      <c r="B2" s="67"/>
      <c r="C2" s="67"/>
      <c r="D2" s="67"/>
      <c r="E2" s="67"/>
      <c r="F2" s="68"/>
      <c r="G2" s="13"/>
      <c r="H2" s="13"/>
      <c r="I2" s="14"/>
      <c r="J2" s="327"/>
      <c r="K2" s="327" t="s">
        <v>28</v>
      </c>
    </row>
    <row r="3" spans="1:11" ht="13.5" thickTop="1">
      <c r="A3" s="30" t="s">
        <v>96</v>
      </c>
      <c r="B3" s="95">
        <v>0.56</v>
      </c>
      <c r="C3" s="70"/>
      <c r="D3" s="70"/>
      <c r="E3" s="70"/>
      <c r="F3" s="90"/>
      <c r="G3" s="71" t="s">
        <v>18</v>
      </c>
      <c r="H3" s="70"/>
      <c r="I3" s="163" t="s">
        <v>68</v>
      </c>
      <c r="J3" s="327" t="s">
        <v>36</v>
      </c>
      <c r="K3" s="327">
        <v>50</v>
      </c>
    </row>
    <row r="4" spans="1:11" ht="12.75">
      <c r="A4" s="30" t="s">
        <v>97</v>
      </c>
      <c r="B4" s="92">
        <v>0.046</v>
      </c>
      <c r="C4" s="5">
        <f>B4/B7/1000</f>
        <v>0.0018399999999999998</v>
      </c>
      <c r="D4" s="5"/>
      <c r="E4" s="5"/>
      <c r="F4" s="5"/>
      <c r="G4" s="16" t="s">
        <v>28</v>
      </c>
      <c r="H4" s="5"/>
      <c r="I4" s="47" t="s">
        <v>69</v>
      </c>
      <c r="J4" s="327" t="s">
        <v>118</v>
      </c>
      <c r="K4" s="327">
        <v>75</v>
      </c>
    </row>
    <row r="5" spans="1:11" ht="12.75">
      <c r="A5" s="30" t="s">
        <v>83</v>
      </c>
      <c r="B5" s="92">
        <v>50</v>
      </c>
      <c r="C5" s="5">
        <f>64/F7</f>
        <v>0.0006495862153846156</v>
      </c>
      <c r="D5" s="5" t="s">
        <v>98</v>
      </c>
      <c r="E5" s="6"/>
      <c r="F5" s="91"/>
      <c r="G5" s="52">
        <v>25</v>
      </c>
      <c r="H5" s="5"/>
      <c r="I5" s="54">
        <f>65/60</f>
        <v>1.0833333333333333</v>
      </c>
      <c r="J5" s="327" t="s">
        <v>12</v>
      </c>
      <c r="K5" s="327">
        <v>100</v>
      </c>
    </row>
    <row r="6" spans="1:11" ht="12.75">
      <c r="A6" s="30"/>
      <c r="B6" s="72"/>
      <c r="C6" s="5">
        <f>1.325/(LN(C4/3.7+5.74/F7^0.9))^2</f>
        <v>0.024921472126212648</v>
      </c>
      <c r="D6" s="5" t="s">
        <v>99</v>
      </c>
      <c r="E6" s="6"/>
      <c r="F6" s="5"/>
      <c r="G6" s="59" t="s">
        <v>0</v>
      </c>
      <c r="H6" s="5"/>
      <c r="I6" s="7"/>
      <c r="J6" s="327" t="s">
        <v>14</v>
      </c>
      <c r="K6" s="327">
        <v>150</v>
      </c>
    </row>
    <row r="7" spans="1:11" ht="12.75">
      <c r="A7" s="30" t="s">
        <v>86</v>
      </c>
      <c r="B7" s="84">
        <f>G5/1000</f>
        <v>0.025</v>
      </c>
      <c r="C7" s="5">
        <f>+B7^1.852</f>
        <v>0.0010789091991591979</v>
      </c>
      <c r="D7" s="5">
        <f>+B7^2</f>
        <v>0.0006250000000000001</v>
      </c>
      <c r="E7" s="6" t="s">
        <v>100</v>
      </c>
      <c r="F7" s="156">
        <f>B14*B7/B3*1000000</f>
        <v>98524.2581881237</v>
      </c>
      <c r="G7" s="5"/>
      <c r="H7" s="5"/>
      <c r="I7" s="7"/>
      <c r="J7" s="327" t="s">
        <v>118</v>
      </c>
      <c r="K7" s="327">
        <v>200</v>
      </c>
    </row>
    <row r="8" spans="1:11" ht="12.75">
      <c r="A8" s="30" t="s">
        <v>87</v>
      </c>
      <c r="B8" s="74">
        <v>0</v>
      </c>
      <c r="C8" s="5"/>
      <c r="D8" s="5"/>
      <c r="E8" s="6" t="s">
        <v>101</v>
      </c>
      <c r="F8" s="94" t="str">
        <f>IF(F7&lt;2400,"laminaire","turbulent")</f>
        <v>turbulent</v>
      </c>
      <c r="G8" s="5"/>
      <c r="H8" s="5"/>
      <c r="I8" s="7"/>
      <c r="J8" s="327" t="s">
        <v>36</v>
      </c>
      <c r="K8" s="327">
        <v>250</v>
      </c>
    </row>
    <row r="9" spans="1:11" ht="12.75">
      <c r="A9" s="30"/>
      <c r="B9" s="93"/>
      <c r="C9" s="5"/>
      <c r="D9" s="5"/>
      <c r="E9" s="6" t="s">
        <v>102</v>
      </c>
      <c r="F9" s="96">
        <f>IF(F7&lt;2400,C5,C6)</f>
        <v>0.024921472126212648</v>
      </c>
      <c r="G9" s="5"/>
      <c r="H9" s="5"/>
      <c r="I9" s="7"/>
      <c r="J9" s="327" t="s">
        <v>13</v>
      </c>
      <c r="K9" s="327">
        <v>300</v>
      </c>
    </row>
    <row r="10" spans="1:11" ht="12.75">
      <c r="A10" s="30" t="s">
        <v>88</v>
      </c>
      <c r="B10" s="85">
        <f>+I5/1000</f>
        <v>0.0010833333333333333</v>
      </c>
      <c r="C10" s="5"/>
      <c r="D10" s="5"/>
      <c r="E10" s="5"/>
      <c r="F10" s="5"/>
      <c r="G10" s="5"/>
      <c r="H10" s="5"/>
      <c r="I10" s="7"/>
      <c r="J10" s="327" t="s">
        <v>17</v>
      </c>
      <c r="K10" s="327">
        <v>350</v>
      </c>
    </row>
    <row r="11" spans="1:11" ht="12.75">
      <c r="A11" s="4"/>
      <c r="B11" s="15"/>
      <c r="C11" s="5"/>
      <c r="D11" s="5"/>
      <c r="E11" s="5"/>
      <c r="F11" s="5"/>
      <c r="G11" s="5"/>
      <c r="H11" s="5"/>
      <c r="I11" s="7"/>
      <c r="J11" s="327" t="s">
        <v>39</v>
      </c>
      <c r="K11" s="327">
        <v>400</v>
      </c>
    </row>
    <row r="12" spans="1:11" ht="12.75">
      <c r="A12" s="30" t="s">
        <v>89</v>
      </c>
      <c r="B12" s="75">
        <f>0.81057/9.806*B10^2/B7^4*(B8+F9*B5/B7)</f>
        <v>12.378456744459097</v>
      </c>
      <c r="C12" s="5">
        <f>10.675*B3/C6/C4*C7</f>
        <v>140.6530943326624</v>
      </c>
      <c r="D12" s="5" t="e">
        <f>0.81057/D6*B9*D7/9.806</f>
        <v>#VALUE!</v>
      </c>
      <c r="E12" s="5"/>
      <c r="F12" s="5"/>
      <c r="G12" s="5"/>
      <c r="H12" s="5"/>
      <c r="I12" s="7"/>
      <c r="J12" s="327" t="s">
        <v>13</v>
      </c>
      <c r="K12" s="327">
        <v>450</v>
      </c>
    </row>
    <row r="13" spans="1:11" ht="12.75">
      <c r="A13" s="30" t="s">
        <v>90</v>
      </c>
      <c r="B13" s="45">
        <f>B8*B14^2/2/9.806</f>
        <v>0</v>
      </c>
      <c r="C13" s="5"/>
      <c r="D13" s="5"/>
      <c r="E13" s="5"/>
      <c r="F13" s="5"/>
      <c r="G13" s="5"/>
      <c r="H13" s="5"/>
      <c r="I13" s="7"/>
      <c r="J13" s="326"/>
      <c r="K13" s="327">
        <v>500</v>
      </c>
    </row>
    <row r="14" spans="1:11" ht="12.75">
      <c r="A14" s="30" t="s">
        <v>91</v>
      </c>
      <c r="B14" s="45">
        <f>B10*4/3.1416/B7^2</f>
        <v>2.206943383413971</v>
      </c>
      <c r="C14" s="5"/>
      <c r="D14" s="5"/>
      <c r="E14" s="5"/>
      <c r="F14" s="5"/>
      <c r="G14" s="5"/>
      <c r="H14" s="5"/>
      <c r="I14" s="7"/>
      <c r="J14" s="327" t="s">
        <v>0</v>
      </c>
      <c r="K14" s="327">
        <v>600</v>
      </c>
    </row>
    <row r="15" spans="1:11" ht="13.5" thickBot="1">
      <c r="A15" s="162" t="s">
        <v>92</v>
      </c>
      <c r="B15" s="76">
        <f>+B14^2/9.806/2</f>
        <v>0.24834790422163505</v>
      </c>
      <c r="C15" s="77"/>
      <c r="D15" s="77"/>
      <c r="E15" s="77"/>
      <c r="F15" s="77"/>
      <c r="G15" s="77"/>
      <c r="H15" s="77"/>
      <c r="I15" s="164"/>
      <c r="J15" s="326"/>
      <c r="K15" s="327">
        <v>750</v>
      </c>
    </row>
    <row r="16" spans="1:11" ht="13.5" thickTop="1">
      <c r="A16" s="78" t="s">
        <v>93</v>
      </c>
      <c r="B16" s="39" t="s">
        <v>2</v>
      </c>
      <c r="C16" s="17"/>
      <c r="D16" s="17"/>
      <c r="E16" s="17"/>
      <c r="F16" s="17"/>
      <c r="G16" s="1"/>
      <c r="H16" s="2"/>
      <c r="I16" s="3"/>
      <c r="J16" s="326"/>
      <c r="K16" s="327">
        <v>900</v>
      </c>
    </row>
    <row r="17" spans="1:11" ht="12.75">
      <c r="A17" s="79" t="s">
        <v>94</v>
      </c>
      <c r="B17" s="8" t="s">
        <v>52</v>
      </c>
      <c r="C17" s="24"/>
      <c r="D17" s="24"/>
      <c r="E17" s="24"/>
      <c r="F17" s="24"/>
      <c r="G17" s="4"/>
      <c r="H17" s="5"/>
      <c r="I17" s="7"/>
      <c r="J17" s="326"/>
      <c r="K17" s="326"/>
    </row>
    <row r="18" spans="1:11" ht="13.5" thickBot="1">
      <c r="A18" s="80" t="s">
        <v>95</v>
      </c>
      <c r="B18" s="26" t="s">
        <v>6</v>
      </c>
      <c r="C18" s="27"/>
      <c r="D18" s="27"/>
      <c r="E18" s="27"/>
      <c r="F18" s="27"/>
      <c r="G18" s="12"/>
      <c r="H18" s="13"/>
      <c r="I18" s="14"/>
      <c r="J18" s="326"/>
      <c r="K18" s="326"/>
    </row>
    <row r="19" ht="13.5" thickTop="1"/>
    <row r="22" ht="12.75">
      <c r="G22" t="s">
        <v>0</v>
      </c>
    </row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HYDRO</dc:title>
  <dc:subject>Logiciel pédagogique d'hydraulique</dc:subject>
  <dc:creator>Bertrand Côté, ing.</dc:creator>
  <cp:keywords/>
  <dc:description/>
  <cp:lastModifiedBy>U.de S. Faculte de Genie</cp:lastModifiedBy>
  <cp:lastPrinted>1998-11-27T17:20:53Z</cp:lastPrinted>
  <dcterms:created xsi:type="dcterms:W3CDTF">1997-01-30T15:57:28Z</dcterms:created>
  <dcterms:modified xsi:type="dcterms:W3CDTF">2003-01-22T17:54:34Z</dcterms:modified>
  <cp:category/>
  <cp:version/>
  <cp:contentType/>
  <cp:contentStatus/>
</cp:coreProperties>
</file>